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worksheets/sheet13.xml" ContentType="application/vnd.openxmlformats-officedocument.spreadsheetml.worksheet+xml"/>
  <Override PartName="/xl/worksheets/sheet11.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2.xml" ContentType="application/vnd.openxmlformats-officedocument.spreadsheetml.worksheet+xml"/>
  <Override PartName="/xl/worksheets/sheet7.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8.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My Drive\Năm 2023\Tài liệu kỳ họp thứ 16\A. Các BC của UBND tỉnh\BC kế hoạch tài chính 3 năm\"/>
    </mc:Choice>
  </mc:AlternateContent>
  <bookViews>
    <workbookView xWindow="-105" yWindow="-105" windowWidth="19425" windowHeight="10305" tabRatio="935"/>
  </bookViews>
  <sheets>
    <sheet name="B1-TH DA" sheetId="1" r:id="rId1"/>
    <sheet name="B2-TH ĐV" sheetId="27" r:id="rId2"/>
    <sheet name="B3-DA1" sheetId="2" r:id="rId3"/>
    <sheet name="B4-TDA1,DA3" sheetId="3" r:id="rId4"/>
    <sheet name="B5-TDA2,DA3" sheetId="5" r:id="rId5"/>
    <sheet name="B5.1-Chi tiết DAPTSX" sheetId="28" r:id="rId6"/>
    <sheet name="B6-DA4" sheetId="6" r:id="rId7"/>
    <sheet name="B7-TDA1,DA5" sheetId="7" r:id="rId8"/>
    <sheet name="B7-TDA2,DA5" sheetId="8" state="hidden" r:id="rId9"/>
    <sheet name="B8-TDA2, DA5" sheetId="29" r:id="rId10"/>
    <sheet name="B9-TDA3,DA5" sheetId="9" r:id="rId11"/>
    <sheet name="B10-TDA4,DA5" sheetId="24" r:id="rId12"/>
    <sheet name="B11-DA6" sheetId="10" r:id="rId13"/>
    <sheet name="B12-DA7" sheetId="11" r:id="rId14"/>
    <sheet name="B13-DA8" sheetId="12" r:id="rId15"/>
    <sheet name="B14-TDA2,DA9" sheetId="13" r:id="rId16"/>
    <sheet name="B15-TDA1,DA10" sheetId="14" r:id="rId17"/>
    <sheet name="B16-TDA2,DA10" sheetId="30" r:id="rId18"/>
    <sheet name="B17-TDA3,DA10" sheetId="26" r:id="rId19"/>
  </sheets>
  <definedNames>
    <definedName name="_xlnm.Print_Area" localSheetId="12">'B11-DA6'!$A:$N</definedName>
    <definedName name="_xlnm.Print_Area" localSheetId="13">'B12-DA7'!$A:$L</definedName>
    <definedName name="_xlnm.Print_Area" localSheetId="14">'B13-DA8'!$A$1:$M$16</definedName>
    <definedName name="_xlnm.Print_Area" localSheetId="15">'B14-TDA2,DA9'!$A$1:$N$22</definedName>
    <definedName name="_xlnm.Print_Area" localSheetId="16">'B15-TDA1,DA10'!$A$1:$N$14</definedName>
    <definedName name="_xlnm.Print_Area" localSheetId="2">'B3-DA1'!$A$1:$L$21</definedName>
    <definedName name="_xlnm.Print_Area" localSheetId="3">'B4-TDA1,DA3'!$A$1:$L$25</definedName>
    <definedName name="_xlnm.Print_Area" localSheetId="4">'B5-TDA2,DA3'!$A$1:$W$21</definedName>
    <definedName name="_xlnm.Print_Area" localSheetId="7">'B7-TDA1,DA5'!$A$1:$N$22</definedName>
    <definedName name="_xlnm.Print_Area" localSheetId="9">'B8-TDA2, DA5'!$A$1:$N$17</definedName>
    <definedName name="_xlnm.Print_Titles" localSheetId="12">'B11-DA6'!$4:$4</definedName>
    <definedName name="_xlnm.Print_Titles" localSheetId="0">'B1-TH DA'!$6:$8</definedName>
    <definedName name="_xlnm.Print_Titles" localSheetId="1">'B2-TH ĐV'!$A:$B</definedName>
    <definedName name="_xlnm.Print_Titles" localSheetId="2">'B3-DA1'!$6:$6</definedName>
    <definedName name="_xlnm.Print_Titles" localSheetId="3">'B4-TDA1,DA3'!$5:$5</definedName>
    <definedName name="_xlnm.Print_Titles" localSheetId="5">'B5.1-Chi tiết DAPTSX'!$5:$8</definedName>
    <definedName name="_xlnm.Print_Titles" localSheetId="6">'B6-DA4'!$4:$4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3" i="26" l="1"/>
  <c r="E44" i="26"/>
  <c r="E45" i="26"/>
  <c r="E46" i="26"/>
  <c r="E47" i="26"/>
  <c r="E48" i="26"/>
  <c r="G48" i="26" s="1"/>
  <c r="E49" i="26"/>
  <c r="G49" i="26" s="1"/>
  <c r="E50" i="26"/>
  <c r="G50" i="26" s="1"/>
  <c r="E51" i="26"/>
  <c r="E52" i="26"/>
  <c r="G52" i="26" s="1"/>
  <c r="E53" i="26"/>
  <c r="G53" i="26" s="1"/>
  <c r="E54" i="26"/>
  <c r="E55" i="26"/>
  <c r="E56" i="26"/>
  <c r="E57" i="26"/>
  <c r="G57" i="26" s="1"/>
  <c r="E58" i="26"/>
  <c r="G58" i="26" s="1"/>
  <c r="E59" i="26"/>
  <c r="E60" i="26"/>
  <c r="G60" i="26" s="1"/>
  <c r="E61" i="26"/>
  <c r="G61" i="26" s="1"/>
  <c r="E62" i="26"/>
  <c r="G62" i="26" s="1"/>
  <c r="E63" i="26"/>
  <c r="G63" i="26" s="1"/>
  <c r="E64" i="26"/>
  <c r="G64" i="26" s="1"/>
  <c r="E65" i="26"/>
  <c r="G65" i="26" s="1"/>
  <c r="E42" i="26"/>
  <c r="G43" i="26"/>
  <c r="G44" i="26"/>
  <c r="G45" i="26"/>
  <c r="G46" i="26"/>
  <c r="G47" i="26"/>
  <c r="G51" i="26"/>
  <c r="G54" i="26"/>
  <c r="G55" i="26"/>
  <c r="G56" i="26"/>
  <c r="G59" i="26"/>
  <c r="G42" i="26"/>
  <c r="E23" i="14"/>
  <c r="E20" i="14"/>
  <c r="E22" i="14" s="1"/>
  <c r="E7" i="11"/>
  <c r="G6" i="11"/>
  <c r="C6" i="11" s="1"/>
  <c r="E34" i="10"/>
  <c r="E10" i="9"/>
  <c r="E12" i="9" s="1"/>
  <c r="F31" i="7"/>
  <c r="E28" i="7"/>
  <c r="E30" i="7" s="1"/>
  <c r="E31" i="7"/>
  <c r="E12" i="24"/>
  <c r="F10" i="29"/>
  <c r="E17" i="7"/>
  <c r="E19" i="7" s="1"/>
  <c r="E21" i="7" s="1"/>
  <c r="N17" i="5"/>
  <c r="N18" i="5" s="1"/>
  <c r="D17" i="5"/>
  <c r="E20" i="5"/>
  <c r="C26" i="5"/>
  <c r="E24" i="14" l="1"/>
  <c r="E41" i="26"/>
  <c r="C69" i="26" s="1"/>
  <c r="E32" i="7"/>
  <c r="C27" i="5"/>
  <c r="C7" i="11"/>
  <c r="G7" i="11"/>
  <c r="G41" i="26"/>
  <c r="E20" i="7"/>
  <c r="E77" i="26"/>
  <c r="E37" i="27"/>
  <c r="BB38" i="27"/>
  <c r="AZ37" i="27"/>
  <c r="AZ36" i="27"/>
  <c r="AZ35" i="27"/>
  <c r="AZ34" i="27"/>
  <c r="AZ32" i="27"/>
  <c r="AZ31" i="27"/>
  <c r="AZ30" i="27"/>
  <c r="AZ29" i="27"/>
  <c r="AZ28" i="27"/>
  <c r="AZ27" i="27"/>
  <c r="AZ26" i="27"/>
  <c r="AZ25" i="27"/>
  <c r="AZ24" i="27"/>
  <c r="AZ23" i="27"/>
  <c r="AZ22" i="27"/>
  <c r="AZ21" i="27"/>
  <c r="AZ20" i="27"/>
  <c r="AZ19" i="27"/>
  <c r="AZ18" i="27"/>
  <c r="AZ17" i="27"/>
  <c r="AZ16" i="27"/>
  <c r="AZ15" i="27"/>
  <c r="BB12" i="27"/>
  <c r="AZ13" i="27"/>
  <c r="G31" i="1"/>
  <c r="G28" i="1"/>
  <c r="G20" i="1"/>
  <c r="G18" i="1"/>
  <c r="G13" i="1"/>
  <c r="K33" i="1"/>
  <c r="H33" i="1" s="1"/>
  <c r="I33" i="1" s="1"/>
  <c r="D14" i="30"/>
  <c r="D13" i="30" s="1"/>
  <c r="L33" i="1" s="1"/>
  <c r="N13" i="30"/>
  <c r="M13" i="30"/>
  <c r="L13" i="30"/>
  <c r="K13" i="30"/>
  <c r="J13" i="30"/>
  <c r="I13" i="30"/>
  <c r="H13" i="30"/>
  <c r="G13" i="30"/>
  <c r="F13" i="30"/>
  <c r="E13" i="30"/>
  <c r="F12" i="30"/>
  <c r="F11" i="30" s="1"/>
  <c r="BA14" i="27" s="1"/>
  <c r="AZ14" i="27" s="1"/>
  <c r="E12" i="30"/>
  <c r="E16" i="30" s="1"/>
  <c r="E15" i="30" s="1"/>
  <c r="N10" i="30"/>
  <c r="M10" i="30"/>
  <c r="L10" i="30"/>
  <c r="K10" i="30"/>
  <c r="K8" i="30" s="1"/>
  <c r="J10" i="30"/>
  <c r="J8" i="30" s="1"/>
  <c r="I10" i="30"/>
  <c r="H10" i="30"/>
  <c r="G10" i="30"/>
  <c r="N9" i="30"/>
  <c r="M9" i="30"/>
  <c r="L9" i="30"/>
  <c r="K9" i="30"/>
  <c r="J9" i="30"/>
  <c r="I9" i="30"/>
  <c r="H9" i="30"/>
  <c r="G9" i="30"/>
  <c r="G8" i="30" s="1"/>
  <c r="N8" i="30"/>
  <c r="M8" i="30"/>
  <c r="D7" i="30"/>
  <c r="D6" i="30"/>
  <c r="I8" i="30" l="1"/>
  <c r="L8" i="30"/>
  <c r="D10" i="30"/>
  <c r="G9" i="1"/>
  <c r="BB11" i="27"/>
  <c r="D9" i="30"/>
  <c r="F16" i="30"/>
  <c r="H8" i="30"/>
  <c r="E11" i="30"/>
  <c r="BA33" i="27" s="1"/>
  <c r="AZ33" i="27" s="1"/>
  <c r="AZ12" i="27" s="1"/>
  <c r="BA12" i="27" l="1"/>
  <c r="D8" i="30"/>
  <c r="K12" i="30" s="1"/>
  <c r="F15" i="30"/>
  <c r="G12" i="30"/>
  <c r="M12" i="30" l="1"/>
  <c r="I12" i="30"/>
  <c r="I16" i="30" s="1"/>
  <c r="I15" i="30" s="1"/>
  <c r="K16" i="30"/>
  <c r="K15" i="30" s="1"/>
  <c r="K11" i="30"/>
  <c r="BA43" i="27" s="1"/>
  <c r="AZ43" i="27" s="1"/>
  <c r="L12" i="30"/>
  <c r="N12" i="30"/>
  <c r="H12" i="30"/>
  <c r="J12" i="30"/>
  <c r="M11" i="30"/>
  <c r="BA45" i="27" s="1"/>
  <c r="AZ45" i="27" s="1"/>
  <c r="M16" i="30"/>
  <c r="M15" i="30" s="1"/>
  <c r="G11" i="30"/>
  <c r="BA39" i="27" s="1"/>
  <c r="G16" i="30"/>
  <c r="I11" i="30"/>
  <c r="BA41" i="27" s="1"/>
  <c r="AZ41" i="27" s="1"/>
  <c r="J11" i="30" l="1"/>
  <c r="BA42" i="27" s="1"/>
  <c r="AZ42" i="27" s="1"/>
  <c r="J16" i="30"/>
  <c r="J15" i="30" s="1"/>
  <c r="L11" i="30"/>
  <c r="BA44" i="27" s="1"/>
  <c r="AZ44" i="27" s="1"/>
  <c r="L16" i="30"/>
  <c r="L15" i="30" s="1"/>
  <c r="N11" i="30"/>
  <c r="BA46" i="27" s="1"/>
  <c r="AZ46" i="27" s="1"/>
  <c r="N16" i="30"/>
  <c r="N15" i="30" s="1"/>
  <c r="H16" i="30"/>
  <c r="H15" i="30" s="1"/>
  <c r="H11" i="30"/>
  <c r="BA40" i="27" s="1"/>
  <c r="AZ40" i="27" s="1"/>
  <c r="D12" i="30"/>
  <c r="AZ39" i="27"/>
  <c r="G15" i="30"/>
  <c r="BA38" i="27" l="1"/>
  <c r="BA11" i="27" s="1"/>
  <c r="D16" i="30"/>
  <c r="D15" i="30" s="1"/>
  <c r="AZ38" i="27"/>
  <c r="AZ11" i="27" s="1"/>
  <c r="M15" i="14" l="1"/>
  <c r="I15" i="14"/>
  <c r="G15" i="14"/>
  <c r="D16" i="14"/>
  <c r="D15" i="14" s="1"/>
  <c r="N15" i="14"/>
  <c r="L15" i="14"/>
  <c r="K15" i="14"/>
  <c r="J15" i="14"/>
  <c r="H15" i="14"/>
  <c r="F15" i="14"/>
  <c r="N23" i="13"/>
  <c r="M23" i="13"/>
  <c r="J23" i="13"/>
  <c r="I23" i="13"/>
  <c r="F23" i="13"/>
  <c r="D24" i="13"/>
  <c r="D23" i="13" s="1"/>
  <c r="L23" i="13"/>
  <c r="K23" i="13"/>
  <c r="H23" i="13"/>
  <c r="G23" i="13"/>
  <c r="G17" i="12"/>
  <c r="D18" i="12"/>
  <c r="D17" i="12" s="1"/>
  <c r="E17" i="12"/>
  <c r="M17" i="12"/>
  <c r="L17" i="12"/>
  <c r="K17" i="12"/>
  <c r="J17" i="12"/>
  <c r="I17" i="12"/>
  <c r="H17" i="12"/>
  <c r="N39" i="10"/>
  <c r="J39" i="10"/>
  <c r="H39" i="10"/>
  <c r="G39" i="10"/>
  <c r="D40" i="10"/>
  <c r="D39" i="10" s="1"/>
  <c r="M39" i="10"/>
  <c r="L39" i="10"/>
  <c r="K39" i="10"/>
  <c r="I39" i="10"/>
  <c r="E39" i="10"/>
  <c r="G17" i="24"/>
  <c r="D18" i="24"/>
  <c r="D17" i="24" s="1"/>
  <c r="M17" i="24"/>
  <c r="L17" i="24"/>
  <c r="K17" i="24"/>
  <c r="J17" i="24"/>
  <c r="I17" i="24"/>
  <c r="H17" i="24"/>
  <c r="E17" i="24"/>
  <c r="G15" i="9"/>
  <c r="D16" i="9"/>
  <c r="D15" i="9" s="1"/>
  <c r="M15" i="9"/>
  <c r="L15" i="9"/>
  <c r="K15" i="9"/>
  <c r="J15" i="9"/>
  <c r="I15" i="9"/>
  <c r="H15" i="9"/>
  <c r="E15" i="9"/>
  <c r="N18" i="29"/>
  <c r="J18" i="29"/>
  <c r="F18" i="29"/>
  <c r="D20" i="29"/>
  <c r="M18" i="29"/>
  <c r="D19" i="29"/>
  <c r="I18" i="29"/>
  <c r="H18" i="29"/>
  <c r="E18" i="29"/>
  <c r="K18" i="29"/>
  <c r="G18" i="29"/>
  <c r="I22" i="7"/>
  <c r="H22" i="7"/>
  <c r="D23" i="7"/>
  <c r="D22" i="7" s="1"/>
  <c r="N22" i="7"/>
  <c r="M22" i="7"/>
  <c r="L22" i="7"/>
  <c r="K22" i="7"/>
  <c r="J22" i="7"/>
  <c r="F22" i="7"/>
  <c r="E22" i="7"/>
  <c r="D26" i="6"/>
  <c r="L25" i="6"/>
  <c r="K25" i="6"/>
  <c r="J25" i="6"/>
  <c r="I25" i="6"/>
  <c r="H25" i="6"/>
  <c r="G25" i="6"/>
  <c r="F25" i="6"/>
  <c r="N21" i="5"/>
  <c r="M20" i="5"/>
  <c r="D20" i="5" s="1"/>
  <c r="D27" i="3"/>
  <c r="D26" i="3" s="1"/>
  <c r="L26" i="3"/>
  <c r="K26" i="3"/>
  <c r="J26" i="3"/>
  <c r="I26" i="3"/>
  <c r="H26" i="3"/>
  <c r="G26" i="3"/>
  <c r="F26" i="3"/>
  <c r="E22" i="2"/>
  <c r="F22" i="2"/>
  <c r="G22" i="2"/>
  <c r="H22" i="2"/>
  <c r="I22" i="2"/>
  <c r="J22" i="2"/>
  <c r="K22" i="2"/>
  <c r="L22" i="2"/>
  <c r="D24" i="2"/>
  <c r="D23" i="2"/>
  <c r="D22" i="2" s="1"/>
  <c r="E15" i="14" l="1"/>
  <c r="E23" i="13"/>
  <c r="F17" i="12"/>
  <c r="F39" i="10"/>
  <c r="F17" i="24"/>
  <c r="F15" i="9"/>
  <c r="D18" i="29"/>
  <c r="L18" i="29"/>
  <c r="G22" i="7"/>
  <c r="D25" i="6"/>
  <c r="E25" i="6"/>
  <c r="E26" i="3"/>
  <c r="R15" i="27"/>
  <c r="H12" i="27"/>
  <c r="I12" i="27"/>
  <c r="K12" i="27"/>
  <c r="L12" i="27"/>
  <c r="P12" i="27"/>
  <c r="U12" i="27"/>
  <c r="V12" i="27"/>
  <c r="AC12" i="27"/>
  <c r="AI12" i="27"/>
  <c r="P38" i="27"/>
  <c r="AC38" i="27"/>
  <c r="AI38" i="27"/>
  <c r="AN38" i="27"/>
  <c r="AO38" i="27"/>
  <c r="J14" i="27"/>
  <c r="J15" i="27"/>
  <c r="J16" i="27"/>
  <c r="J17" i="27"/>
  <c r="J18" i="27"/>
  <c r="J19" i="27"/>
  <c r="J20" i="27"/>
  <c r="J21" i="27"/>
  <c r="J22" i="27"/>
  <c r="J23" i="27"/>
  <c r="J24" i="27"/>
  <c r="J25" i="27"/>
  <c r="J26" i="27"/>
  <c r="J27" i="27"/>
  <c r="J28" i="27"/>
  <c r="J29" i="27"/>
  <c r="J30" i="27"/>
  <c r="J31" i="27"/>
  <c r="J32" i="27"/>
  <c r="J33" i="27"/>
  <c r="J34" i="27"/>
  <c r="J35" i="27"/>
  <c r="J36" i="27"/>
  <c r="J37" i="27"/>
  <c r="J13" i="27"/>
  <c r="G14" i="27"/>
  <c r="F14" i="27" s="1"/>
  <c r="G15" i="27"/>
  <c r="G16" i="27"/>
  <c r="F16" i="27" s="1"/>
  <c r="G17" i="27"/>
  <c r="G18" i="27"/>
  <c r="G19" i="27"/>
  <c r="G20" i="27"/>
  <c r="F20" i="27" s="1"/>
  <c r="G21" i="27"/>
  <c r="F21" i="27" s="1"/>
  <c r="G22" i="27"/>
  <c r="G23" i="27"/>
  <c r="G24" i="27"/>
  <c r="G25" i="27"/>
  <c r="G26" i="27"/>
  <c r="F26" i="27" s="1"/>
  <c r="G27" i="27"/>
  <c r="F27" i="27" s="1"/>
  <c r="G28" i="27"/>
  <c r="F28" i="27" s="1"/>
  <c r="G29" i="27"/>
  <c r="F29" i="27" s="1"/>
  <c r="G30" i="27"/>
  <c r="F30" i="27" s="1"/>
  <c r="G31" i="27"/>
  <c r="G32" i="27"/>
  <c r="F32" i="27" s="1"/>
  <c r="G33" i="27"/>
  <c r="G34" i="27"/>
  <c r="G35" i="27"/>
  <c r="G36" i="27"/>
  <c r="F36" i="27" s="1"/>
  <c r="G37" i="27"/>
  <c r="F37" i="27" s="1"/>
  <c r="G13" i="27"/>
  <c r="F13" i="27" s="1"/>
  <c r="BC37" i="27"/>
  <c r="AW14" i="27"/>
  <c r="AW15" i="27"/>
  <c r="AW16" i="27"/>
  <c r="AW17" i="27"/>
  <c r="AW18" i="27"/>
  <c r="AW19" i="27"/>
  <c r="AW20" i="27"/>
  <c r="AW21" i="27"/>
  <c r="AW22" i="27"/>
  <c r="AW23" i="27"/>
  <c r="AW24" i="27"/>
  <c r="AW25" i="27"/>
  <c r="AW26" i="27"/>
  <c r="AW27" i="27"/>
  <c r="AW28" i="27"/>
  <c r="AW29" i="27"/>
  <c r="AW30" i="27"/>
  <c r="AW31" i="27"/>
  <c r="AW33" i="27"/>
  <c r="AW34" i="27"/>
  <c r="AW35" i="27"/>
  <c r="AW36" i="27"/>
  <c r="AW37" i="27"/>
  <c r="AS14" i="27"/>
  <c r="AS15" i="27"/>
  <c r="AS16" i="27"/>
  <c r="AS17" i="27"/>
  <c r="AS18" i="27"/>
  <c r="AS19" i="27"/>
  <c r="AS21" i="27"/>
  <c r="AS22" i="27"/>
  <c r="AS23" i="27"/>
  <c r="AS24" i="27"/>
  <c r="AS25" i="27"/>
  <c r="AS26" i="27"/>
  <c r="AS27" i="27"/>
  <c r="AS28" i="27"/>
  <c r="AS29" i="27"/>
  <c r="AS30" i="27"/>
  <c r="AS31" i="27"/>
  <c r="AS32" i="27"/>
  <c r="AS33" i="27"/>
  <c r="AS34" i="27"/>
  <c r="AS35" i="27"/>
  <c r="AS36" i="27"/>
  <c r="AS37" i="27"/>
  <c r="AP14" i="27"/>
  <c r="AP15" i="27"/>
  <c r="AP16" i="27"/>
  <c r="AP17" i="27"/>
  <c r="AP18" i="27"/>
  <c r="AP19" i="27"/>
  <c r="AP20" i="27"/>
  <c r="AP22" i="27"/>
  <c r="AP23" i="27"/>
  <c r="AP24" i="27"/>
  <c r="AP25" i="27"/>
  <c r="AP26" i="27"/>
  <c r="AP27" i="27"/>
  <c r="AP28" i="27"/>
  <c r="AP29" i="27"/>
  <c r="AP30" i="27"/>
  <c r="AP31" i="27"/>
  <c r="AP32" i="27"/>
  <c r="AP33" i="27"/>
  <c r="AP34" i="27"/>
  <c r="AP35" i="27"/>
  <c r="AP36" i="27"/>
  <c r="AP37" i="27"/>
  <c r="AP13" i="27"/>
  <c r="AM14" i="27"/>
  <c r="AM15" i="27"/>
  <c r="AM16" i="27"/>
  <c r="AM17" i="27"/>
  <c r="AM18" i="27"/>
  <c r="AM19" i="27"/>
  <c r="AM21" i="27"/>
  <c r="AM22" i="27"/>
  <c r="AM23" i="27"/>
  <c r="AM24" i="27"/>
  <c r="AM25" i="27"/>
  <c r="AM26" i="27"/>
  <c r="AM27" i="27"/>
  <c r="AM28" i="27"/>
  <c r="AM29" i="27"/>
  <c r="AM30" i="27"/>
  <c r="AM31" i="27"/>
  <c r="AM32" i="27"/>
  <c r="AM33" i="27"/>
  <c r="AM34" i="27"/>
  <c r="AM35" i="27"/>
  <c r="AM36" i="27"/>
  <c r="AM37" i="27"/>
  <c r="AM39" i="27"/>
  <c r="AM40" i="27"/>
  <c r="AM41" i="27"/>
  <c r="AM42" i="27"/>
  <c r="AM43" i="27"/>
  <c r="AM44" i="27"/>
  <c r="AM45" i="27"/>
  <c r="AM46" i="27"/>
  <c r="AM13" i="27"/>
  <c r="AJ14" i="27"/>
  <c r="AJ15" i="27"/>
  <c r="AJ16" i="27"/>
  <c r="AJ17" i="27"/>
  <c r="AJ18" i="27"/>
  <c r="AJ20" i="27"/>
  <c r="AJ21" i="27"/>
  <c r="AJ22" i="27"/>
  <c r="AJ23" i="27"/>
  <c r="AJ24" i="27"/>
  <c r="AJ25" i="27"/>
  <c r="AJ26" i="27"/>
  <c r="AJ27" i="27"/>
  <c r="AJ28" i="27"/>
  <c r="AJ29" i="27"/>
  <c r="AJ30" i="27"/>
  <c r="AJ31" i="27"/>
  <c r="AJ32" i="27"/>
  <c r="AJ33" i="27"/>
  <c r="AJ34" i="27"/>
  <c r="AJ35" i="27"/>
  <c r="AJ36" i="27"/>
  <c r="AJ37" i="27"/>
  <c r="AJ13" i="27"/>
  <c r="AG14" i="27"/>
  <c r="AG15" i="27"/>
  <c r="AG16" i="27"/>
  <c r="AG17" i="27"/>
  <c r="AG18" i="27"/>
  <c r="AG19" i="27"/>
  <c r="AG20" i="27"/>
  <c r="AG21" i="27"/>
  <c r="AG22" i="27"/>
  <c r="AG23" i="27"/>
  <c r="AG24" i="27"/>
  <c r="AG25" i="27"/>
  <c r="AG26" i="27"/>
  <c r="AG27" i="27"/>
  <c r="AG28" i="27"/>
  <c r="AG29" i="27"/>
  <c r="AG30" i="27"/>
  <c r="AG31" i="27"/>
  <c r="AG32" i="27"/>
  <c r="AG33" i="27"/>
  <c r="AG34" i="27"/>
  <c r="AG35" i="27"/>
  <c r="AG36" i="27"/>
  <c r="AG37" i="27"/>
  <c r="AD14" i="27"/>
  <c r="AD15" i="27"/>
  <c r="AD16" i="27"/>
  <c r="AD17" i="27"/>
  <c r="AD19" i="27"/>
  <c r="AD20" i="27"/>
  <c r="AD21" i="27"/>
  <c r="AD22" i="27"/>
  <c r="AD23" i="27"/>
  <c r="AD24" i="27"/>
  <c r="AD25" i="27"/>
  <c r="AD26" i="27"/>
  <c r="AD27" i="27"/>
  <c r="AD28" i="27"/>
  <c r="AD29" i="27"/>
  <c r="AD30" i="27"/>
  <c r="AD31" i="27"/>
  <c r="AD32" i="27"/>
  <c r="AD33" i="27"/>
  <c r="AD34" i="27"/>
  <c r="AD35" i="27"/>
  <c r="AD36" i="27"/>
  <c r="AD37" i="27"/>
  <c r="AD13" i="27"/>
  <c r="AA14" i="27"/>
  <c r="AA15" i="27"/>
  <c r="AA17" i="27"/>
  <c r="AA18" i="27"/>
  <c r="AA19" i="27"/>
  <c r="AA20" i="27"/>
  <c r="AA21" i="27"/>
  <c r="AA22" i="27"/>
  <c r="AA23" i="27"/>
  <c r="AA24" i="27"/>
  <c r="AA25" i="27"/>
  <c r="AA26" i="27"/>
  <c r="AA27" i="27"/>
  <c r="AA28" i="27"/>
  <c r="AA30" i="27"/>
  <c r="AA31" i="27"/>
  <c r="AA32" i="27"/>
  <c r="AA33" i="27"/>
  <c r="AA34" i="27"/>
  <c r="AA35" i="27"/>
  <c r="AA36" i="27"/>
  <c r="AA37" i="27"/>
  <c r="AA13" i="27"/>
  <c r="X14" i="27"/>
  <c r="W14" i="27" s="1"/>
  <c r="X15" i="27"/>
  <c r="X17" i="27"/>
  <c r="X18" i="27"/>
  <c r="X19" i="27"/>
  <c r="X20" i="27"/>
  <c r="X21" i="27"/>
  <c r="X22" i="27"/>
  <c r="X23" i="27"/>
  <c r="X24" i="27"/>
  <c r="X25" i="27"/>
  <c r="X26" i="27"/>
  <c r="X27" i="27"/>
  <c r="W27" i="27" s="1"/>
  <c r="X28" i="27"/>
  <c r="X29" i="27"/>
  <c r="X30" i="27"/>
  <c r="W30" i="27" s="1"/>
  <c r="X31" i="27"/>
  <c r="X32" i="27"/>
  <c r="X33" i="27"/>
  <c r="X34" i="27"/>
  <c r="X35" i="27"/>
  <c r="X36" i="27"/>
  <c r="X37" i="27"/>
  <c r="X13" i="27"/>
  <c r="T14" i="27"/>
  <c r="T15" i="27"/>
  <c r="T16" i="27"/>
  <c r="T17" i="27"/>
  <c r="T18" i="27"/>
  <c r="T19" i="27"/>
  <c r="T20" i="27"/>
  <c r="T21" i="27"/>
  <c r="T22" i="27"/>
  <c r="T23" i="27"/>
  <c r="T24" i="27"/>
  <c r="T25" i="27"/>
  <c r="T26" i="27"/>
  <c r="T27" i="27"/>
  <c r="T28" i="27"/>
  <c r="T29" i="27"/>
  <c r="T30" i="27"/>
  <c r="T31" i="27"/>
  <c r="T32" i="27"/>
  <c r="T33" i="27"/>
  <c r="T34" i="27"/>
  <c r="T35" i="27"/>
  <c r="T36" i="27"/>
  <c r="T37" i="27"/>
  <c r="T13" i="27"/>
  <c r="Q14" i="27"/>
  <c r="Q16" i="27"/>
  <c r="Q17" i="27"/>
  <c r="Q18" i="27"/>
  <c r="Q19" i="27"/>
  <c r="Q20" i="27"/>
  <c r="Q21" i="27"/>
  <c r="Q22" i="27"/>
  <c r="Q23" i="27"/>
  <c r="Q24" i="27"/>
  <c r="Q25" i="27"/>
  <c r="Q26" i="27"/>
  <c r="Q27" i="27"/>
  <c r="Q28" i="27"/>
  <c r="Q29" i="27"/>
  <c r="Q30" i="27"/>
  <c r="Q31" i="27"/>
  <c r="Q32" i="27"/>
  <c r="Q33" i="27"/>
  <c r="Q34" i="27"/>
  <c r="Q35" i="27"/>
  <c r="Q36" i="27"/>
  <c r="Q37" i="27"/>
  <c r="Q13" i="27"/>
  <c r="N14" i="27"/>
  <c r="M14" i="27" s="1"/>
  <c r="N15" i="27"/>
  <c r="N16" i="27"/>
  <c r="N17" i="27"/>
  <c r="N18" i="27"/>
  <c r="N19" i="27"/>
  <c r="N20" i="27"/>
  <c r="M20" i="27" s="1"/>
  <c r="N21" i="27"/>
  <c r="M21" i="27" s="1"/>
  <c r="N22" i="27"/>
  <c r="M22" i="27" s="1"/>
  <c r="N23" i="27"/>
  <c r="N24" i="27"/>
  <c r="M24" i="27" s="1"/>
  <c r="N25" i="27"/>
  <c r="N26" i="27"/>
  <c r="N27" i="27"/>
  <c r="M27" i="27" s="1"/>
  <c r="N28" i="27"/>
  <c r="M28" i="27" s="1"/>
  <c r="N29" i="27"/>
  <c r="N30" i="27"/>
  <c r="M30" i="27" s="1"/>
  <c r="N31" i="27"/>
  <c r="N32" i="27"/>
  <c r="M32" i="27" s="1"/>
  <c r="N33" i="27"/>
  <c r="M33" i="27" s="1"/>
  <c r="N34" i="27"/>
  <c r="M34" i="27" s="1"/>
  <c r="N35" i="27"/>
  <c r="M35" i="27" s="1"/>
  <c r="N36" i="27"/>
  <c r="M36" i="27" s="1"/>
  <c r="N46" i="27"/>
  <c r="N13" i="27"/>
  <c r="F31" i="27" l="1"/>
  <c r="W26" i="27"/>
  <c r="M29" i="27"/>
  <c r="M17" i="27"/>
  <c r="M13" i="27"/>
  <c r="M26" i="27"/>
  <c r="W15" i="27"/>
  <c r="T12" i="27"/>
  <c r="W31" i="27"/>
  <c r="AV37" i="27"/>
  <c r="F15" i="27"/>
  <c r="J12" i="27"/>
  <c r="M18" i="27"/>
  <c r="M31" i="27"/>
  <c r="M23" i="27"/>
  <c r="W37" i="27"/>
  <c r="W21" i="27"/>
  <c r="AM38" i="27"/>
  <c r="M25" i="27"/>
  <c r="W33" i="27"/>
  <c r="F33" i="27"/>
  <c r="F25" i="27"/>
  <c r="F17" i="27"/>
  <c r="M19" i="27"/>
  <c r="W23" i="27"/>
  <c r="F23" i="27"/>
  <c r="G12" i="27"/>
  <c r="F35" i="27"/>
  <c r="F19" i="27"/>
  <c r="P11" i="27"/>
  <c r="R12" i="27"/>
  <c r="AI11" i="27"/>
  <c r="AC11" i="27"/>
  <c r="F24" i="27"/>
  <c r="F34" i="27"/>
  <c r="F18" i="27"/>
  <c r="F22" i="27"/>
  <c r="W25" i="27"/>
  <c r="W17" i="27"/>
  <c r="W34" i="27"/>
  <c r="W35" i="27"/>
  <c r="W19" i="27"/>
  <c r="W22" i="27"/>
  <c r="W28" i="27"/>
  <c r="W32" i="27"/>
  <c r="W36" i="27"/>
  <c r="W20" i="27"/>
  <c r="W24" i="27"/>
  <c r="M16" i="27"/>
  <c r="C10" i="1"/>
  <c r="C15" i="1"/>
  <c r="C13" i="1" s="1"/>
  <c r="C18" i="1"/>
  <c r="C20" i="1"/>
  <c r="C28" i="1"/>
  <c r="C31" i="1"/>
  <c r="C9" i="1" l="1"/>
  <c r="F12" i="27"/>
  <c r="S15" i="27"/>
  <c r="S12" i="27" l="1"/>
  <c r="Q15" i="27"/>
  <c r="Q12" i="27" l="1"/>
  <c r="M15" i="27"/>
  <c r="K32" i="1"/>
  <c r="H32" i="1" s="1"/>
  <c r="K30" i="1"/>
  <c r="H30" i="1" s="1"/>
  <c r="K27" i="1"/>
  <c r="K25" i="1"/>
  <c r="K24" i="1"/>
  <c r="H24" i="1" s="1"/>
  <c r="I24" i="1" s="1"/>
  <c r="K23" i="1"/>
  <c r="H23" i="1" s="1"/>
  <c r="I23" i="1" s="1"/>
  <c r="K22" i="1"/>
  <c r="H22" i="1" s="1"/>
  <c r="I22" i="1" s="1"/>
  <c r="K21" i="1"/>
  <c r="H21" i="1" s="1"/>
  <c r="K19" i="1"/>
  <c r="H19" i="1" s="1"/>
  <c r="L16" i="1"/>
  <c r="K16" i="1"/>
  <c r="L14" i="1"/>
  <c r="E78" i="26"/>
  <c r="E80" i="26"/>
  <c r="E86" i="26"/>
  <c r="E88" i="26"/>
  <c r="E94" i="26"/>
  <c r="D96" i="26"/>
  <c r="BD14" i="27" s="1"/>
  <c r="D14" i="27" s="1"/>
  <c r="E81" i="26"/>
  <c r="Q11" i="26"/>
  <c r="M12" i="26"/>
  <c r="M11" i="26"/>
  <c r="M10" i="26"/>
  <c r="M9" i="26" s="1"/>
  <c r="F10" i="14"/>
  <c r="F12" i="14" s="1"/>
  <c r="E10" i="14"/>
  <c r="H8" i="14"/>
  <c r="I8" i="14"/>
  <c r="J8" i="14"/>
  <c r="K8" i="14"/>
  <c r="L8" i="14"/>
  <c r="M8" i="14"/>
  <c r="N8" i="14"/>
  <c r="G8" i="14"/>
  <c r="D8" i="14" s="1"/>
  <c r="D6" i="14"/>
  <c r="F18" i="13"/>
  <c r="F17" i="13" s="1"/>
  <c r="AT20" i="27" s="1"/>
  <c r="E18" i="13"/>
  <c r="H12" i="13"/>
  <c r="I12" i="13"/>
  <c r="J12" i="13"/>
  <c r="K12" i="13"/>
  <c r="L12" i="13"/>
  <c r="M12" i="13"/>
  <c r="M11" i="13" s="1"/>
  <c r="N12" i="13"/>
  <c r="N11" i="13" s="1"/>
  <c r="H13" i="13"/>
  <c r="I13" i="13"/>
  <c r="J13" i="13"/>
  <c r="K13" i="13"/>
  <c r="L13" i="13"/>
  <c r="M13" i="13"/>
  <c r="N13" i="13"/>
  <c r="H14" i="13"/>
  <c r="I14" i="13"/>
  <c r="J14" i="13"/>
  <c r="K14" i="13"/>
  <c r="L14" i="13"/>
  <c r="M14" i="13"/>
  <c r="N14" i="13"/>
  <c r="H15" i="13"/>
  <c r="I15" i="13"/>
  <c r="J15" i="13"/>
  <c r="K15" i="13"/>
  <c r="L15" i="13"/>
  <c r="M15" i="13"/>
  <c r="N15" i="13"/>
  <c r="H16" i="13"/>
  <c r="I16" i="13"/>
  <c r="J16" i="13"/>
  <c r="K16" i="13"/>
  <c r="L16" i="13"/>
  <c r="M16" i="13"/>
  <c r="N16" i="13"/>
  <c r="G16" i="13"/>
  <c r="G15" i="13"/>
  <c r="G14" i="13"/>
  <c r="G13" i="13"/>
  <c r="D13" i="13" s="1"/>
  <c r="G12" i="13"/>
  <c r="G11" i="13" s="1"/>
  <c r="D8" i="13"/>
  <c r="D9" i="13"/>
  <c r="D10" i="13"/>
  <c r="D7" i="13"/>
  <c r="E12" i="12"/>
  <c r="G9" i="12"/>
  <c r="H9" i="12"/>
  <c r="I9" i="12"/>
  <c r="I8" i="12" s="1"/>
  <c r="J9" i="12"/>
  <c r="J8" i="12" s="1"/>
  <c r="K9" i="12"/>
  <c r="K8" i="12" s="1"/>
  <c r="L9" i="12"/>
  <c r="L8" i="12" s="1"/>
  <c r="M9" i="12"/>
  <c r="M8" i="12" s="1"/>
  <c r="G10" i="12"/>
  <c r="H10" i="12"/>
  <c r="I10" i="12"/>
  <c r="J10" i="12"/>
  <c r="K10" i="12"/>
  <c r="L10" i="12"/>
  <c r="M10" i="12"/>
  <c r="F10" i="12"/>
  <c r="F9" i="12"/>
  <c r="D7" i="12"/>
  <c r="D6" i="12"/>
  <c r="AN20" i="27"/>
  <c r="F26" i="10"/>
  <c r="D26" i="10" s="1"/>
  <c r="F27" i="10"/>
  <c r="D27" i="10" s="1"/>
  <c r="F28" i="10"/>
  <c r="D28" i="10" s="1"/>
  <c r="F29" i="10"/>
  <c r="D29" i="10" s="1"/>
  <c r="F30" i="10"/>
  <c r="D30" i="10" s="1"/>
  <c r="F31" i="10"/>
  <c r="D31" i="10" s="1"/>
  <c r="F32" i="10"/>
  <c r="D32" i="10" s="1"/>
  <c r="F25" i="10"/>
  <c r="H21" i="10"/>
  <c r="H20" i="10" s="1"/>
  <c r="H19" i="10" s="1"/>
  <c r="I21" i="10"/>
  <c r="I20" i="10" s="1"/>
  <c r="I19" i="10" s="1"/>
  <c r="J21" i="10"/>
  <c r="J20" i="10" s="1"/>
  <c r="J19" i="10" s="1"/>
  <c r="K21" i="10"/>
  <c r="L21" i="10"/>
  <c r="M21" i="10"/>
  <c r="N21" i="10"/>
  <c r="H22" i="10"/>
  <c r="I22" i="10"/>
  <c r="J22" i="10"/>
  <c r="K22" i="10"/>
  <c r="L22" i="10"/>
  <c r="M22" i="10"/>
  <c r="N22" i="10"/>
  <c r="D22" i="10" s="1"/>
  <c r="H23" i="10"/>
  <c r="I23" i="10"/>
  <c r="J23" i="10"/>
  <c r="K23" i="10"/>
  <c r="L23" i="10"/>
  <c r="M23" i="10"/>
  <c r="N23" i="10"/>
  <c r="G22" i="10"/>
  <c r="G23" i="10"/>
  <c r="G21" i="10"/>
  <c r="D12" i="10"/>
  <c r="D13" i="10"/>
  <c r="D14" i="10"/>
  <c r="D15" i="10"/>
  <c r="D16" i="10"/>
  <c r="D17" i="10"/>
  <c r="D18" i="10"/>
  <c r="D11" i="10"/>
  <c r="D8" i="10"/>
  <c r="D9" i="10"/>
  <c r="D7" i="10"/>
  <c r="E16" i="24"/>
  <c r="E8" i="24"/>
  <c r="F8" i="24"/>
  <c r="G9" i="24"/>
  <c r="G8" i="24" s="1"/>
  <c r="H9" i="24"/>
  <c r="I9" i="24"/>
  <c r="J9" i="24"/>
  <c r="K9" i="24"/>
  <c r="L9" i="24"/>
  <c r="M9" i="24"/>
  <c r="G10" i="24"/>
  <c r="H10" i="24"/>
  <c r="I10" i="24"/>
  <c r="J10" i="24"/>
  <c r="K10" i="24"/>
  <c r="L10" i="24"/>
  <c r="M10" i="24"/>
  <c r="F10" i="24"/>
  <c r="F9" i="24"/>
  <c r="D7" i="24"/>
  <c r="D6" i="24"/>
  <c r="E9" i="9"/>
  <c r="G8" i="9"/>
  <c r="H8" i="9"/>
  <c r="I8" i="9"/>
  <c r="J8" i="9"/>
  <c r="K8" i="9"/>
  <c r="L8" i="9"/>
  <c r="M8" i="9"/>
  <c r="F8" i="9"/>
  <c r="D6" i="9"/>
  <c r="F17" i="29"/>
  <c r="F23" i="29" s="1"/>
  <c r="G17" i="29"/>
  <c r="G23" i="29" s="1"/>
  <c r="H17" i="29"/>
  <c r="H23" i="29" s="1"/>
  <c r="I17" i="29"/>
  <c r="I23" i="29" s="1"/>
  <c r="J17" i="29"/>
  <c r="J23" i="29" s="1"/>
  <c r="K17" i="29"/>
  <c r="K23" i="29" s="1"/>
  <c r="L17" i="29"/>
  <c r="L23" i="29" s="1"/>
  <c r="M17" i="29"/>
  <c r="M23" i="29" s="1"/>
  <c r="N17" i="29"/>
  <c r="N23" i="29" s="1"/>
  <c r="E17" i="29"/>
  <c r="E16" i="29"/>
  <c r="E9" i="29"/>
  <c r="AB16" i="27" s="1"/>
  <c r="AA16" i="27" s="1"/>
  <c r="D11" i="29"/>
  <c r="D6" i="29"/>
  <c r="H8" i="29"/>
  <c r="I8" i="29"/>
  <c r="J8" i="29"/>
  <c r="K8" i="29"/>
  <c r="L8" i="29"/>
  <c r="M8" i="29"/>
  <c r="N8" i="29"/>
  <c r="G8" i="29"/>
  <c r="N12" i="29"/>
  <c r="M12" i="29"/>
  <c r="L12" i="29"/>
  <c r="K12" i="29"/>
  <c r="J12" i="29"/>
  <c r="I12" i="29"/>
  <c r="H12" i="29"/>
  <c r="G12" i="29"/>
  <c r="F12" i="29"/>
  <c r="E12" i="29"/>
  <c r="J11" i="13" l="1"/>
  <c r="L11" i="13"/>
  <c r="K11" i="13"/>
  <c r="D23" i="10"/>
  <c r="D9" i="12"/>
  <c r="D14" i="13"/>
  <c r="G20" i="10"/>
  <c r="G19" i="10" s="1"/>
  <c r="F24" i="10"/>
  <c r="F19" i="10" s="1"/>
  <c r="D10" i="12"/>
  <c r="I11" i="13"/>
  <c r="D21" i="10"/>
  <c r="D20" i="10" s="1"/>
  <c r="D15" i="13"/>
  <c r="H11" i="13"/>
  <c r="L8" i="24"/>
  <c r="G8" i="12"/>
  <c r="D16" i="13"/>
  <c r="K8" i="24"/>
  <c r="N20" i="10"/>
  <c r="N19" i="10" s="1"/>
  <c r="D9" i="24"/>
  <c r="J8" i="24"/>
  <c r="M20" i="10"/>
  <c r="M19" i="10" s="1"/>
  <c r="D8" i="9"/>
  <c r="I10" i="9" s="1"/>
  <c r="I12" i="9" s="1"/>
  <c r="D10" i="24"/>
  <c r="I8" i="24"/>
  <c r="L20" i="10"/>
  <c r="L19" i="10" s="1"/>
  <c r="D8" i="29"/>
  <c r="K10" i="29" s="1"/>
  <c r="M8" i="24"/>
  <c r="H8" i="24"/>
  <c r="K20" i="10"/>
  <c r="K19" i="10" s="1"/>
  <c r="H8" i="12"/>
  <c r="N10" i="29"/>
  <c r="G10" i="29"/>
  <c r="L10" i="29"/>
  <c r="M10" i="29"/>
  <c r="I10" i="29"/>
  <c r="H10" i="29"/>
  <c r="J10" i="29"/>
  <c r="D25" i="10"/>
  <c r="D24" i="10" s="1"/>
  <c r="H25" i="1"/>
  <c r="I25" i="1" s="1"/>
  <c r="E25" i="1"/>
  <c r="H10" i="9"/>
  <c r="H12" i="9" s="1"/>
  <c r="F8" i="12"/>
  <c r="L10" i="14"/>
  <c r="L12" i="14" s="1"/>
  <c r="N10" i="14"/>
  <c r="N12" i="14" s="1"/>
  <c r="M10" i="14"/>
  <c r="M12" i="14" s="1"/>
  <c r="I10" i="14"/>
  <c r="I12" i="14" s="1"/>
  <c r="G10" i="14"/>
  <c r="G12" i="14" s="1"/>
  <c r="E12" i="14"/>
  <c r="H10" i="14"/>
  <c r="H12" i="14" s="1"/>
  <c r="J10" i="14"/>
  <c r="J12" i="14" s="1"/>
  <c r="J14" i="14" s="1"/>
  <c r="K10" i="14"/>
  <c r="K12" i="14" s="1"/>
  <c r="H27" i="1"/>
  <c r="I27" i="1" s="1"/>
  <c r="E27" i="1"/>
  <c r="D12" i="13"/>
  <c r="D11" i="13" s="1"/>
  <c r="H18" i="13" s="1"/>
  <c r="E15" i="29"/>
  <c r="E22" i="29"/>
  <c r="D17" i="29"/>
  <c r="E23" i="29"/>
  <c r="D94" i="26"/>
  <c r="BD31" i="27" s="1"/>
  <c r="D31" i="27" s="1"/>
  <c r="D86" i="26"/>
  <c r="BD23" i="27" s="1"/>
  <c r="D23" i="27" s="1"/>
  <c r="D78" i="26"/>
  <c r="BD15" i="27" s="1"/>
  <c r="D15" i="27" s="1"/>
  <c r="D81" i="26"/>
  <c r="BD18" i="27" s="1"/>
  <c r="D88" i="26"/>
  <c r="BD25" i="27" s="1"/>
  <c r="D25" i="27" s="1"/>
  <c r="D80" i="26"/>
  <c r="BD17" i="27" s="1"/>
  <c r="D17" i="27" s="1"/>
  <c r="J11" i="14"/>
  <c r="AY42" i="27" s="1"/>
  <c r="F20" i="13"/>
  <c r="F19" i="13" s="1"/>
  <c r="AU20" i="27" s="1"/>
  <c r="AS20" i="27" s="1"/>
  <c r="H28" i="1"/>
  <c r="I30" i="1"/>
  <c r="I28" i="1" s="1"/>
  <c r="E14" i="12"/>
  <c r="E33" i="10"/>
  <c r="E36" i="10"/>
  <c r="E35" i="10" s="1"/>
  <c r="E20" i="24"/>
  <c r="E15" i="24"/>
  <c r="N16" i="29"/>
  <c r="N15" i="29" s="1"/>
  <c r="N9" i="29"/>
  <c r="AB46" i="27" s="1"/>
  <c r="AA46" i="27" s="1"/>
  <c r="F9" i="29"/>
  <c r="AB29" i="27" s="1"/>
  <c r="F16" i="29"/>
  <c r="F15" i="29" s="1"/>
  <c r="I21" i="1"/>
  <c r="I20" i="1" s="1"/>
  <c r="H20" i="1"/>
  <c r="BE17" i="27"/>
  <c r="E17" i="27" s="1"/>
  <c r="BE15" i="27"/>
  <c r="E15" i="27" s="1"/>
  <c r="BE18" i="27"/>
  <c r="BE23" i="27"/>
  <c r="E23" i="27" s="1"/>
  <c r="BE31" i="27"/>
  <c r="E31" i="27" s="1"/>
  <c r="C94" i="26"/>
  <c r="BE25" i="27"/>
  <c r="E25" i="27" s="1"/>
  <c r="C88" i="26"/>
  <c r="K9" i="14"/>
  <c r="AX43" i="27" s="1"/>
  <c r="F11" i="14"/>
  <c r="AY32" i="27" s="1"/>
  <c r="F14" i="14"/>
  <c r="I32" i="1"/>
  <c r="E9" i="14"/>
  <c r="AX13" i="27" s="1"/>
  <c r="F9" i="14"/>
  <c r="AX32" i="27" s="1"/>
  <c r="H18" i="1"/>
  <c r="I19" i="1"/>
  <c r="I18" i="1" s="1"/>
  <c r="E20" i="13"/>
  <c r="E19" i="13" s="1"/>
  <c r="AU13" i="27" s="1"/>
  <c r="E17" i="13"/>
  <c r="AT13" i="27" s="1"/>
  <c r="AO20" i="27"/>
  <c r="L26" i="1"/>
  <c r="F26" i="1" s="1"/>
  <c r="C9" i="11"/>
  <c r="AN12" i="27"/>
  <c r="AN11" i="27" s="1"/>
  <c r="K26" i="1"/>
  <c r="AE18" i="27"/>
  <c r="E14" i="9"/>
  <c r="E96" i="26"/>
  <c r="D77" i="26"/>
  <c r="D97" i="26"/>
  <c r="BD33" i="27" s="1"/>
  <c r="D33" i="27" s="1"/>
  <c r="E11" i="12"/>
  <c r="E13" i="12"/>
  <c r="AR21" i="27" s="1"/>
  <c r="AR12" i="27" s="1"/>
  <c r="D12" i="29"/>
  <c r="L22" i="1" s="1"/>
  <c r="I18" i="13" l="1"/>
  <c r="J18" i="13"/>
  <c r="J20" i="13" s="1"/>
  <c r="J19" i="13" s="1"/>
  <c r="AU42" i="27" s="1"/>
  <c r="K10" i="9"/>
  <c r="K12" i="9" s="1"/>
  <c r="M10" i="9"/>
  <c r="M12" i="9" s="1"/>
  <c r="D8" i="24"/>
  <c r="D8" i="12"/>
  <c r="L12" i="12" s="1"/>
  <c r="L11" i="12" s="1"/>
  <c r="AQ45" i="27" s="1"/>
  <c r="F12" i="12"/>
  <c r="G10" i="9"/>
  <c r="G12" i="9" s="1"/>
  <c r="L10" i="9"/>
  <c r="L12" i="9" s="1"/>
  <c r="G18" i="13"/>
  <c r="D18" i="13" s="1"/>
  <c r="C78" i="26"/>
  <c r="K18" i="13"/>
  <c r="K17" i="13" s="1"/>
  <c r="AT43" i="27" s="1"/>
  <c r="M18" i="13"/>
  <c r="F10" i="9"/>
  <c r="F12" i="9" s="1"/>
  <c r="N18" i="13"/>
  <c r="J10" i="9"/>
  <c r="J12" i="9" s="1"/>
  <c r="F22" i="13"/>
  <c r="F21" i="13" s="1"/>
  <c r="J9" i="14"/>
  <c r="AX42" i="27" s="1"/>
  <c r="L18" i="13"/>
  <c r="D18" i="27"/>
  <c r="E26" i="1"/>
  <c r="D26" i="1" s="1"/>
  <c r="H26" i="1"/>
  <c r="I26" i="1" s="1"/>
  <c r="C81" i="26"/>
  <c r="BC18" i="27"/>
  <c r="AV18" i="27" s="1"/>
  <c r="E21" i="29"/>
  <c r="D23" i="29"/>
  <c r="M12" i="12"/>
  <c r="D19" i="10"/>
  <c r="C86" i="26"/>
  <c r="E99" i="26"/>
  <c r="BE35" i="27" s="1"/>
  <c r="E35" i="27" s="1"/>
  <c r="D99" i="26"/>
  <c r="BD35" i="27" s="1"/>
  <c r="D35" i="27" s="1"/>
  <c r="E89" i="26"/>
  <c r="BE26" i="27" s="1"/>
  <c r="E26" i="27" s="1"/>
  <c r="D89" i="26"/>
  <c r="BD26" i="27" s="1"/>
  <c r="D26" i="27" s="1"/>
  <c r="E84" i="26"/>
  <c r="BE21" i="27" s="1"/>
  <c r="E21" i="27" s="1"/>
  <c r="D84" i="26"/>
  <c r="BD21" i="27" s="1"/>
  <c r="E95" i="26"/>
  <c r="BE32" i="27" s="1"/>
  <c r="D95" i="26"/>
  <c r="BD32" i="27" s="1"/>
  <c r="D32" i="27" s="1"/>
  <c r="E100" i="26"/>
  <c r="BE36" i="27" s="1"/>
  <c r="E36" i="27" s="1"/>
  <c r="D100" i="26"/>
  <c r="BD36" i="27" s="1"/>
  <c r="D36" i="27" s="1"/>
  <c r="E87" i="26"/>
  <c r="BE24" i="27" s="1"/>
  <c r="E24" i="27" s="1"/>
  <c r="D87" i="26"/>
  <c r="BD24" i="27" s="1"/>
  <c r="D24" i="27" s="1"/>
  <c r="E82" i="26"/>
  <c r="D82" i="26"/>
  <c r="BD19" i="27" s="1"/>
  <c r="E90" i="26"/>
  <c r="BE27" i="27" s="1"/>
  <c r="E27" i="27" s="1"/>
  <c r="D90" i="26"/>
  <c r="BD27" i="27" s="1"/>
  <c r="D27" i="27" s="1"/>
  <c r="E85" i="26"/>
  <c r="BE22" i="27" s="1"/>
  <c r="E22" i="27" s="1"/>
  <c r="D85" i="26"/>
  <c r="BD22" i="27" s="1"/>
  <c r="D22" i="27" s="1"/>
  <c r="E98" i="26"/>
  <c r="BE34" i="27" s="1"/>
  <c r="E34" i="27" s="1"/>
  <c r="D98" i="26"/>
  <c r="BD34" i="27" s="1"/>
  <c r="D34" i="27" s="1"/>
  <c r="E93" i="26"/>
  <c r="D93" i="26"/>
  <c r="BD30" i="27" s="1"/>
  <c r="D30" i="27" s="1"/>
  <c r="BD13" i="27"/>
  <c r="E92" i="26"/>
  <c r="D92" i="26"/>
  <c r="BD29" i="27" s="1"/>
  <c r="D29" i="27" s="1"/>
  <c r="E83" i="26"/>
  <c r="D83" i="26"/>
  <c r="BD20" i="27" s="1"/>
  <c r="D20" i="27" s="1"/>
  <c r="E91" i="26"/>
  <c r="BE28" i="27" s="1"/>
  <c r="E28" i="27" s="1"/>
  <c r="D91" i="26"/>
  <c r="BD28" i="27" s="1"/>
  <c r="D28" i="27" s="1"/>
  <c r="E79" i="26"/>
  <c r="BE16" i="27" s="1"/>
  <c r="BC16" i="27" s="1"/>
  <c r="AV16" i="27" s="1"/>
  <c r="D79" i="26"/>
  <c r="BD16" i="27" s="1"/>
  <c r="C80" i="26"/>
  <c r="D10" i="14"/>
  <c r="J17" i="13"/>
  <c r="AT42" i="27" s="1"/>
  <c r="AQ21" i="27"/>
  <c r="G12" i="12"/>
  <c r="E38" i="10"/>
  <c r="E19" i="24"/>
  <c r="I9" i="29"/>
  <c r="AB41" i="27" s="1"/>
  <c r="AA41" i="27" s="1"/>
  <c r="I16" i="29"/>
  <c r="I15" i="29" s="1"/>
  <c r="H9" i="29"/>
  <c r="AB40" i="27" s="1"/>
  <c r="AA40" i="27" s="1"/>
  <c r="H16" i="29"/>
  <c r="H15" i="29" s="1"/>
  <c r="J9" i="29"/>
  <c r="AB42" i="27" s="1"/>
  <c r="AA42" i="27" s="1"/>
  <c r="J16" i="29"/>
  <c r="J15" i="29" s="1"/>
  <c r="K9" i="29"/>
  <c r="AB43" i="27" s="1"/>
  <c r="AA43" i="27" s="1"/>
  <c r="K16" i="29"/>
  <c r="K15" i="29" s="1"/>
  <c r="AA29" i="27"/>
  <c r="AB12" i="27"/>
  <c r="L16" i="29"/>
  <c r="L15" i="29" s="1"/>
  <c r="L9" i="29"/>
  <c r="AB44" i="27" s="1"/>
  <c r="AA44" i="27" s="1"/>
  <c r="F22" i="29"/>
  <c r="D10" i="29"/>
  <c r="M16" i="29"/>
  <c r="M15" i="29" s="1"/>
  <c r="M9" i="29"/>
  <c r="AB45" i="27" s="1"/>
  <c r="AA45" i="27" s="1"/>
  <c r="G16" i="29"/>
  <c r="G15" i="29" s="1"/>
  <c r="G9" i="29"/>
  <c r="AB39" i="27" s="1"/>
  <c r="N22" i="29"/>
  <c r="N21" i="29" s="1"/>
  <c r="AM20" i="27"/>
  <c r="AM12" i="27" s="1"/>
  <c r="AM11" i="27" s="1"/>
  <c r="AW42" i="27"/>
  <c r="BC23" i="27"/>
  <c r="AV23" i="27" s="1"/>
  <c r="C23" i="27"/>
  <c r="BE29" i="27"/>
  <c r="E29" i="27" s="1"/>
  <c r="BE19" i="27"/>
  <c r="C25" i="27"/>
  <c r="BC25" i="27"/>
  <c r="AV25" i="27" s="1"/>
  <c r="BC15" i="27"/>
  <c r="AV15" i="27" s="1"/>
  <c r="C15" i="27"/>
  <c r="BE14" i="27"/>
  <c r="E14" i="27" s="1"/>
  <c r="C96" i="26"/>
  <c r="BE30" i="27"/>
  <c r="E30" i="27" s="1"/>
  <c r="C93" i="26"/>
  <c r="BE20" i="27"/>
  <c r="C31" i="27"/>
  <c r="BC31" i="27"/>
  <c r="AV31" i="27" s="1"/>
  <c r="BC17" i="27"/>
  <c r="AV17" i="27" s="1"/>
  <c r="C17" i="27"/>
  <c r="I9" i="14"/>
  <c r="AX41" i="27" s="1"/>
  <c r="N9" i="14"/>
  <c r="AX46" i="27" s="1"/>
  <c r="M9" i="14"/>
  <c r="AX45" i="27" s="1"/>
  <c r="J13" i="14"/>
  <c r="J18" i="14"/>
  <c r="J17" i="14" s="1"/>
  <c r="G9" i="14"/>
  <c r="AX39" i="27" s="1"/>
  <c r="F13" i="14"/>
  <c r="F18" i="14"/>
  <c r="F17" i="14" s="1"/>
  <c r="E11" i="14"/>
  <c r="AY13" i="27" s="1"/>
  <c r="AY12" i="27" s="1"/>
  <c r="E14" i="14"/>
  <c r="L9" i="14"/>
  <c r="AX44" i="27" s="1"/>
  <c r="K14" i="14"/>
  <c r="K11" i="14"/>
  <c r="AY43" i="27" s="1"/>
  <c r="AW43" i="27" s="1"/>
  <c r="AX12" i="27"/>
  <c r="H9" i="14"/>
  <c r="AX40" i="27" s="1"/>
  <c r="AW32" i="27"/>
  <c r="M17" i="13"/>
  <c r="AT45" i="27" s="1"/>
  <c r="M20" i="13"/>
  <c r="M19" i="13" s="1"/>
  <c r="AU45" i="27" s="1"/>
  <c r="AS42" i="27"/>
  <c r="I20" i="13"/>
  <c r="I19" i="13" s="1"/>
  <c r="AU41" i="27" s="1"/>
  <c r="I17" i="13"/>
  <c r="AT41" i="27" s="1"/>
  <c r="AS13" i="27"/>
  <c r="AS12" i="27" s="1"/>
  <c r="AT12" i="27"/>
  <c r="J22" i="13"/>
  <c r="H20" i="13"/>
  <c r="H19" i="13" s="1"/>
  <c r="AU40" i="27" s="1"/>
  <c r="H17" i="13"/>
  <c r="AT40" i="27" s="1"/>
  <c r="N17" i="13"/>
  <c r="AT46" i="27" s="1"/>
  <c r="N20" i="13"/>
  <c r="N19" i="13" s="1"/>
  <c r="AU46" i="27" s="1"/>
  <c r="E22" i="13"/>
  <c r="G20" i="13"/>
  <c r="G17" i="13"/>
  <c r="AT39" i="27" s="1"/>
  <c r="L17" i="13"/>
  <c r="AT44" i="27" s="1"/>
  <c r="L20" i="13"/>
  <c r="L19" i="13" s="1"/>
  <c r="AU44" i="27" s="1"/>
  <c r="AU12" i="27"/>
  <c r="F26" i="13"/>
  <c r="F25" i="13" s="1"/>
  <c r="AO12" i="27"/>
  <c r="AO11" i="27" s="1"/>
  <c r="E18" i="9"/>
  <c r="E13" i="9"/>
  <c r="AE12" i="27"/>
  <c r="G11" i="9"/>
  <c r="AF40" i="27" s="1"/>
  <c r="G9" i="9"/>
  <c r="AE40" i="27" s="1"/>
  <c r="K11" i="9"/>
  <c r="AF44" i="27" s="1"/>
  <c r="H9" i="9"/>
  <c r="AE41" i="27" s="1"/>
  <c r="H11" i="9"/>
  <c r="AF41" i="27" s="1"/>
  <c r="M11" i="9"/>
  <c r="AF46" i="27" s="1"/>
  <c r="M9" i="9"/>
  <c r="AE46" i="27" s="1"/>
  <c r="J9" i="9"/>
  <c r="AE43" i="27" s="1"/>
  <c r="J11" i="9"/>
  <c r="AF43" i="27" s="1"/>
  <c r="F14" i="9"/>
  <c r="F11" i="9"/>
  <c r="AF39" i="27" s="1"/>
  <c r="F9" i="9"/>
  <c r="AE39" i="27" s="1"/>
  <c r="I9" i="9"/>
  <c r="AE42" i="27" s="1"/>
  <c r="I11" i="9"/>
  <c r="AF42" i="27" s="1"/>
  <c r="K9" i="9"/>
  <c r="AE44" i="27" s="1"/>
  <c r="D10" i="9"/>
  <c r="E11" i="9"/>
  <c r="AF18" i="27" s="1"/>
  <c r="E18" i="27" s="1"/>
  <c r="L11" i="9"/>
  <c r="AF45" i="27" s="1"/>
  <c r="L9" i="9"/>
  <c r="AE45" i="27" s="1"/>
  <c r="L14" i="9"/>
  <c r="E97" i="26"/>
  <c r="K12" i="12"/>
  <c r="I12" i="12"/>
  <c r="J12" i="12"/>
  <c r="H12" i="12"/>
  <c r="E16" i="12"/>
  <c r="F14" i="12"/>
  <c r="F16" i="12" s="1"/>
  <c r="F20" i="12" s="1"/>
  <c r="F19" i="12" s="1"/>
  <c r="F11" i="12"/>
  <c r="AQ39" i="27" s="1"/>
  <c r="M11" i="12"/>
  <c r="AQ46" i="27" s="1"/>
  <c r="M14" i="12"/>
  <c r="M13" i="12" s="1"/>
  <c r="AR46" i="27" s="1"/>
  <c r="G11" i="12"/>
  <c r="AQ40" i="27" s="1"/>
  <c r="F12" i="7"/>
  <c r="F11" i="7" s="1"/>
  <c r="G12" i="7"/>
  <c r="H12" i="7"/>
  <c r="I12" i="7"/>
  <c r="J12" i="7"/>
  <c r="K12" i="7"/>
  <c r="L12" i="7"/>
  <c r="M12" i="7"/>
  <c r="N12" i="7"/>
  <c r="F13" i="7"/>
  <c r="G13" i="7"/>
  <c r="H13" i="7"/>
  <c r="I13" i="7"/>
  <c r="J13" i="7"/>
  <c r="K13" i="7"/>
  <c r="L13" i="7"/>
  <c r="M13" i="7"/>
  <c r="N13" i="7"/>
  <c r="F14" i="7"/>
  <c r="G14" i="7"/>
  <c r="H14" i="7"/>
  <c r="I14" i="7"/>
  <c r="J14" i="7"/>
  <c r="K14" i="7"/>
  <c r="L14" i="7"/>
  <c r="M14" i="7"/>
  <c r="N14" i="7"/>
  <c r="F15" i="7"/>
  <c r="G15" i="7"/>
  <c r="H15" i="7"/>
  <c r="I15" i="7"/>
  <c r="J15" i="7"/>
  <c r="K15" i="7"/>
  <c r="L15" i="7"/>
  <c r="M15" i="7"/>
  <c r="N15" i="7"/>
  <c r="E13" i="7"/>
  <c r="D13" i="7" s="1"/>
  <c r="E14" i="7"/>
  <c r="E15" i="7"/>
  <c r="E12" i="7"/>
  <c r="N11" i="7" l="1"/>
  <c r="I11" i="7"/>
  <c r="L11" i="7"/>
  <c r="K20" i="13"/>
  <c r="K19" i="13" s="1"/>
  <c r="AU43" i="27" s="1"/>
  <c r="AS43" i="27" s="1"/>
  <c r="K11" i="7"/>
  <c r="J11" i="7"/>
  <c r="D12" i="7"/>
  <c r="D11" i="7" s="1"/>
  <c r="D15" i="7"/>
  <c r="H11" i="7"/>
  <c r="D14" i="7"/>
  <c r="G11" i="7"/>
  <c r="M11" i="7"/>
  <c r="BC32" i="27"/>
  <c r="AP46" i="27"/>
  <c r="C99" i="26"/>
  <c r="E11" i="7"/>
  <c r="F34" i="10"/>
  <c r="I34" i="10"/>
  <c r="J34" i="10"/>
  <c r="L34" i="10"/>
  <c r="G34" i="10"/>
  <c r="H34" i="10"/>
  <c r="N34" i="10"/>
  <c r="M34" i="10"/>
  <c r="K34" i="10"/>
  <c r="C100" i="26"/>
  <c r="L14" i="12"/>
  <c r="L13" i="12" s="1"/>
  <c r="AR45" i="27" s="1"/>
  <c r="AP45" i="27" s="1"/>
  <c r="C85" i="26"/>
  <c r="D12" i="12"/>
  <c r="C82" i="26"/>
  <c r="K22" i="13"/>
  <c r="K21" i="13" s="1"/>
  <c r="D16" i="29"/>
  <c r="D15" i="29" s="1"/>
  <c r="BD12" i="27"/>
  <c r="C87" i="26"/>
  <c r="C98" i="26"/>
  <c r="C89" i="26"/>
  <c r="C83" i="26"/>
  <c r="C91" i="26"/>
  <c r="BC20" i="27"/>
  <c r="AV20" i="27" s="1"/>
  <c r="C90" i="26"/>
  <c r="C92" i="26"/>
  <c r="C79" i="26"/>
  <c r="C84" i="26"/>
  <c r="C95" i="26"/>
  <c r="D76" i="26"/>
  <c r="D21" i="27"/>
  <c r="C21" i="27" s="1"/>
  <c r="AP21" i="27"/>
  <c r="AP12" i="27" s="1"/>
  <c r="AQ12" i="27"/>
  <c r="E15" i="12"/>
  <c r="E20" i="12"/>
  <c r="G14" i="12"/>
  <c r="G13" i="12" s="1"/>
  <c r="AR40" i="27" s="1"/>
  <c r="AP40" i="27" s="1"/>
  <c r="E42" i="10"/>
  <c r="E37" i="10"/>
  <c r="K22" i="29"/>
  <c r="K21" i="29" s="1"/>
  <c r="F21" i="29"/>
  <c r="J22" i="29"/>
  <c r="J21" i="29" s="1"/>
  <c r="AB38" i="27"/>
  <c r="AB11" i="27" s="1"/>
  <c r="AA39" i="27"/>
  <c r="AA38" i="27" s="1"/>
  <c r="G22" i="29"/>
  <c r="G21" i="29" s="1"/>
  <c r="L22" i="29"/>
  <c r="L21" i="29" s="1"/>
  <c r="H22" i="29"/>
  <c r="H21" i="29" s="1"/>
  <c r="M22" i="29"/>
  <c r="M21" i="29" s="1"/>
  <c r="W29" i="27"/>
  <c r="AA12" i="27"/>
  <c r="I22" i="29"/>
  <c r="I21" i="29" s="1"/>
  <c r="AV32" i="27"/>
  <c r="E20" i="27"/>
  <c r="C20" i="27" s="1"/>
  <c r="E32" i="27"/>
  <c r="C32" i="27" s="1"/>
  <c r="BC36" i="27"/>
  <c r="AV36" i="27" s="1"/>
  <c r="C36" i="27"/>
  <c r="BC21" i="27"/>
  <c r="AV21" i="27" s="1"/>
  <c r="C35" i="27"/>
  <c r="BC35" i="27"/>
  <c r="AV35" i="27" s="1"/>
  <c r="C62" i="26"/>
  <c r="C26" i="27"/>
  <c r="BC26" i="27"/>
  <c r="AV26" i="27" s="1"/>
  <c r="BC19" i="27"/>
  <c r="AV19" i="27" s="1"/>
  <c r="BE33" i="27"/>
  <c r="E33" i="27" s="1"/>
  <c r="C97" i="26"/>
  <c r="BC30" i="27"/>
  <c r="AV30" i="27" s="1"/>
  <c r="C30" i="27"/>
  <c r="BC28" i="27"/>
  <c r="AV28" i="27" s="1"/>
  <c r="C28" i="27"/>
  <c r="C24" i="27"/>
  <c r="BC24" i="27"/>
  <c r="AV24" i="27" s="1"/>
  <c r="C34" i="27"/>
  <c r="BC34" i="27"/>
  <c r="AV34" i="27" s="1"/>
  <c r="C27" i="27"/>
  <c r="BC27" i="27"/>
  <c r="AV27" i="27" s="1"/>
  <c r="BC14" i="27"/>
  <c r="AV14" i="27" s="1"/>
  <c r="C14" i="27"/>
  <c r="BC22" i="27"/>
  <c r="AV22" i="27" s="1"/>
  <c r="C22" i="27"/>
  <c r="BC29" i="27"/>
  <c r="AV29" i="27" s="1"/>
  <c r="C29" i="27"/>
  <c r="BE13" i="27"/>
  <c r="E13" i="27" s="1"/>
  <c r="E76" i="26"/>
  <c r="C77" i="26"/>
  <c r="AW13" i="27"/>
  <c r="E18" i="14"/>
  <c r="E13" i="14"/>
  <c r="M14" i="14"/>
  <c r="M11" i="14"/>
  <c r="AY45" i="27" s="1"/>
  <c r="AW45" i="27" s="1"/>
  <c r="N11" i="14"/>
  <c r="AY46" i="27" s="1"/>
  <c r="AW46" i="27" s="1"/>
  <c r="N14" i="14"/>
  <c r="L14" i="14"/>
  <c r="L11" i="14"/>
  <c r="AY44" i="27" s="1"/>
  <c r="AW44" i="27" s="1"/>
  <c r="H11" i="14"/>
  <c r="AY40" i="27" s="1"/>
  <c r="AW40" i="27" s="1"/>
  <c r="H14" i="14"/>
  <c r="AX38" i="27"/>
  <c r="AX11" i="27" s="1"/>
  <c r="K13" i="14"/>
  <c r="K18" i="14"/>
  <c r="K17" i="14" s="1"/>
  <c r="G11" i="14"/>
  <c r="AY39" i="27" s="1"/>
  <c r="AW39" i="27" s="1"/>
  <c r="G14" i="14"/>
  <c r="D12" i="14"/>
  <c r="D11" i="14" s="1"/>
  <c r="L32" i="1" s="1"/>
  <c r="I14" i="14"/>
  <c r="I11" i="14"/>
  <c r="AY41" i="27" s="1"/>
  <c r="AS46" i="27"/>
  <c r="AS41" i="27"/>
  <c r="AS44" i="27"/>
  <c r="N22" i="13"/>
  <c r="N26" i="13" s="1"/>
  <c r="N25" i="13" s="1"/>
  <c r="N21" i="13"/>
  <c r="AT38" i="27"/>
  <c r="AT11" i="27" s="1"/>
  <c r="AS40" i="27"/>
  <c r="I22" i="13"/>
  <c r="G19" i="13"/>
  <c r="AU39" i="27" s="1"/>
  <c r="AU38" i="27" s="1"/>
  <c r="AU11" i="27" s="1"/>
  <c r="D20" i="13"/>
  <c r="D19" i="13" s="1"/>
  <c r="L30" i="1" s="1"/>
  <c r="G22" i="13"/>
  <c r="H22" i="13"/>
  <c r="E26" i="13"/>
  <c r="E21" i="13"/>
  <c r="J21" i="13"/>
  <c r="J26" i="13"/>
  <c r="J25" i="13" s="1"/>
  <c r="M22" i="13"/>
  <c r="L22" i="13"/>
  <c r="AS45" i="27"/>
  <c r="AD45" i="27"/>
  <c r="AD42" i="27"/>
  <c r="AD40" i="27"/>
  <c r="AD46" i="27"/>
  <c r="AF38" i="27"/>
  <c r="E18" i="7"/>
  <c r="E17" i="9"/>
  <c r="F13" i="9"/>
  <c r="F18" i="9"/>
  <c r="F17" i="9" s="1"/>
  <c r="AF12" i="27"/>
  <c r="C18" i="27"/>
  <c r="AD43" i="27"/>
  <c r="AD18" i="27"/>
  <c r="AD44" i="27"/>
  <c r="L13" i="9"/>
  <c r="L18" i="9"/>
  <c r="L17" i="9" s="1"/>
  <c r="AE38" i="27"/>
  <c r="AE11" i="27" s="1"/>
  <c r="AD39" i="27"/>
  <c r="AD41" i="27"/>
  <c r="K14" i="9"/>
  <c r="M14" i="9"/>
  <c r="H14" i="9"/>
  <c r="H18" i="9" s="1"/>
  <c r="H17" i="9" s="1"/>
  <c r="J14" i="9"/>
  <c r="I14" i="9"/>
  <c r="D12" i="9"/>
  <c r="G14" i="9"/>
  <c r="E16" i="7"/>
  <c r="H14" i="12"/>
  <c r="H13" i="12" s="1"/>
  <c r="AR41" i="27" s="1"/>
  <c r="H11" i="12"/>
  <c r="AQ41" i="27" s="1"/>
  <c r="AP41" i="27" s="1"/>
  <c r="J14" i="12"/>
  <c r="J13" i="12" s="1"/>
  <c r="AR43" i="27" s="1"/>
  <c r="J11" i="12"/>
  <c r="AQ43" i="27" s="1"/>
  <c r="I14" i="12"/>
  <c r="I13" i="12" s="1"/>
  <c r="AR42" i="27" s="1"/>
  <c r="I11" i="12"/>
  <c r="AQ42" i="27" s="1"/>
  <c r="K11" i="12"/>
  <c r="AQ44" i="27" s="1"/>
  <c r="K14" i="12"/>
  <c r="F15" i="12"/>
  <c r="M16" i="12"/>
  <c r="F13" i="12"/>
  <c r="AR39" i="27" s="1"/>
  <c r="AP39" i="27" s="1"/>
  <c r="D8" i="7"/>
  <c r="D9" i="7"/>
  <c r="D10" i="7"/>
  <c r="D7" i="7"/>
  <c r="J16" i="6"/>
  <c r="J18" i="6"/>
  <c r="F13" i="6"/>
  <c r="G13" i="6"/>
  <c r="H13" i="6"/>
  <c r="I13" i="6"/>
  <c r="J13" i="6"/>
  <c r="K13" i="6"/>
  <c r="L13" i="6"/>
  <c r="F14" i="6"/>
  <c r="G14" i="6"/>
  <c r="H14" i="6"/>
  <c r="I14" i="6"/>
  <c r="J14" i="6"/>
  <c r="K14" i="6"/>
  <c r="L14" i="6"/>
  <c r="F15" i="6"/>
  <c r="G15" i="6"/>
  <c r="H15" i="6"/>
  <c r="I15" i="6"/>
  <c r="J15" i="6"/>
  <c r="K15" i="6"/>
  <c r="L15" i="6"/>
  <c r="F16" i="6"/>
  <c r="G16" i="6"/>
  <c r="H16" i="6"/>
  <c r="I16" i="6"/>
  <c r="K16" i="6"/>
  <c r="L16" i="6"/>
  <c r="F17" i="6"/>
  <c r="G17" i="6"/>
  <c r="H17" i="6"/>
  <c r="I17" i="6"/>
  <c r="J17" i="6"/>
  <c r="K17" i="6"/>
  <c r="L17" i="6"/>
  <c r="F18" i="6"/>
  <c r="G18" i="6"/>
  <c r="H18" i="6"/>
  <c r="I18" i="6"/>
  <c r="K18" i="6"/>
  <c r="L18" i="6"/>
  <c r="E14" i="6"/>
  <c r="E15" i="6"/>
  <c r="E16" i="6"/>
  <c r="E17" i="6"/>
  <c r="E18" i="6"/>
  <c r="E13" i="6"/>
  <c r="D7" i="6"/>
  <c r="D8" i="6"/>
  <c r="D9" i="6"/>
  <c r="D10" i="6"/>
  <c r="D6" i="6"/>
  <c r="V16" i="5"/>
  <c r="P13" i="5"/>
  <c r="Q13" i="5"/>
  <c r="R13" i="5"/>
  <c r="S13" i="5"/>
  <c r="T13" i="5"/>
  <c r="U13" i="5"/>
  <c r="V13" i="5"/>
  <c r="P14" i="5"/>
  <c r="Q14" i="5"/>
  <c r="R14" i="5"/>
  <c r="S14" i="5"/>
  <c r="T14" i="5"/>
  <c r="U14" i="5"/>
  <c r="V14" i="5"/>
  <c r="P15" i="5"/>
  <c r="Q15" i="5"/>
  <c r="R15" i="5"/>
  <c r="S15" i="5"/>
  <c r="T15" i="5"/>
  <c r="U15" i="5"/>
  <c r="V15" i="5"/>
  <c r="O13" i="5"/>
  <c r="O15" i="5"/>
  <c r="O14" i="5"/>
  <c r="D9" i="5"/>
  <c r="D10" i="5"/>
  <c r="D8" i="5"/>
  <c r="Y16" i="28"/>
  <c r="K17" i="5" s="1"/>
  <c r="J13" i="3"/>
  <c r="F17" i="3"/>
  <c r="G17" i="3"/>
  <c r="H17" i="3"/>
  <c r="I17" i="3"/>
  <c r="J17" i="3"/>
  <c r="K17" i="3"/>
  <c r="L17" i="3"/>
  <c r="F18" i="3"/>
  <c r="G18" i="3"/>
  <c r="H18" i="3"/>
  <c r="I18" i="3"/>
  <c r="J18" i="3"/>
  <c r="K18" i="3"/>
  <c r="L18" i="3"/>
  <c r="F19" i="3"/>
  <c r="G19" i="3"/>
  <c r="H19" i="3"/>
  <c r="I19" i="3"/>
  <c r="J19" i="3"/>
  <c r="K19" i="3"/>
  <c r="L19" i="3"/>
  <c r="E19" i="3"/>
  <c r="E18" i="3"/>
  <c r="E17" i="3"/>
  <c r="F16" i="3"/>
  <c r="G16" i="3"/>
  <c r="H16" i="3"/>
  <c r="I16" i="3"/>
  <c r="J16" i="3"/>
  <c r="K16" i="3"/>
  <c r="L16" i="3"/>
  <c r="E16" i="3"/>
  <c r="D16" i="3" s="1"/>
  <c r="F15" i="3"/>
  <c r="G15" i="3"/>
  <c r="H15" i="3"/>
  <c r="I15" i="3"/>
  <c r="J15" i="3"/>
  <c r="K15" i="3"/>
  <c r="L15" i="3"/>
  <c r="E15" i="3"/>
  <c r="F14" i="3"/>
  <c r="G14" i="3"/>
  <c r="H14" i="3"/>
  <c r="I14" i="3"/>
  <c r="J14" i="3"/>
  <c r="K14" i="3"/>
  <c r="K13" i="3" s="1"/>
  <c r="L14" i="3"/>
  <c r="L13" i="3" s="1"/>
  <c r="E14" i="3"/>
  <c r="D8" i="3"/>
  <c r="D9" i="3"/>
  <c r="D10" i="3"/>
  <c r="D11" i="3"/>
  <c r="D12" i="3"/>
  <c r="D7" i="3"/>
  <c r="D15" i="5" l="1"/>
  <c r="K12" i="6"/>
  <c r="J12" i="6"/>
  <c r="F13" i="3"/>
  <c r="H12" i="6"/>
  <c r="G12" i="6"/>
  <c r="D15" i="3"/>
  <c r="F12" i="6"/>
  <c r="K26" i="13"/>
  <c r="K25" i="13" s="1"/>
  <c r="I13" i="3"/>
  <c r="H13" i="3"/>
  <c r="H21" i="3" s="1"/>
  <c r="L12" i="6"/>
  <c r="I12" i="6"/>
  <c r="V12" i="5"/>
  <c r="D18" i="3"/>
  <c r="D19" i="3"/>
  <c r="D14" i="3"/>
  <c r="D13" i="3" s="1"/>
  <c r="K21" i="3" s="1"/>
  <c r="D17" i="3"/>
  <c r="E12" i="6"/>
  <c r="F21" i="3"/>
  <c r="F25" i="3" s="1"/>
  <c r="F29" i="3" s="1"/>
  <c r="F28" i="3" s="1"/>
  <c r="I21" i="3"/>
  <c r="I25" i="3" s="1"/>
  <c r="I24" i="3" s="1"/>
  <c r="D14" i="5"/>
  <c r="J36" i="10"/>
  <c r="J35" i="10" s="1"/>
  <c r="AL42" i="27" s="1"/>
  <c r="J33" i="10"/>
  <c r="AK42" i="27" s="1"/>
  <c r="AJ42" i="27" s="1"/>
  <c r="I36" i="10"/>
  <c r="I35" i="10" s="1"/>
  <c r="AL41" i="27" s="1"/>
  <c r="I33" i="10"/>
  <c r="AK41" i="27" s="1"/>
  <c r="L16" i="12"/>
  <c r="L20" i="12" s="1"/>
  <c r="L19" i="12" s="1"/>
  <c r="AP43" i="27"/>
  <c r="K33" i="10"/>
  <c r="AK43" i="27" s="1"/>
  <c r="K36" i="10"/>
  <c r="F36" i="10"/>
  <c r="F33" i="10"/>
  <c r="AK19" i="27" s="1"/>
  <c r="G13" i="3"/>
  <c r="M36" i="10"/>
  <c r="M33" i="10"/>
  <c r="AK45" i="27" s="1"/>
  <c r="K18" i="5"/>
  <c r="K19" i="5" s="1"/>
  <c r="G16" i="12"/>
  <c r="N36" i="10"/>
  <c r="N33" i="10"/>
  <c r="AK46" i="27" s="1"/>
  <c r="E13" i="3"/>
  <c r="E21" i="3" s="1"/>
  <c r="E25" i="3" s="1"/>
  <c r="E24" i="3" s="1"/>
  <c r="D34" i="10"/>
  <c r="H33" i="10"/>
  <c r="AK40" i="27" s="1"/>
  <c r="H38" i="10"/>
  <c r="H36" i="10"/>
  <c r="H35" i="10" s="1"/>
  <c r="AL40" i="27" s="1"/>
  <c r="L33" i="10"/>
  <c r="AK44" i="27" s="1"/>
  <c r="L36" i="10"/>
  <c r="L35" i="10" s="1"/>
  <c r="AL44" i="27" s="1"/>
  <c r="D13" i="5"/>
  <c r="H17" i="7"/>
  <c r="I17" i="7"/>
  <c r="M17" i="7"/>
  <c r="L17" i="7"/>
  <c r="N17" i="7"/>
  <c r="F17" i="7"/>
  <c r="J17" i="7"/>
  <c r="K17" i="7"/>
  <c r="G17" i="7"/>
  <c r="G33" i="10"/>
  <c r="AK39" i="27" s="1"/>
  <c r="G36" i="10"/>
  <c r="G35" i="10" s="1"/>
  <c r="AL39" i="27" s="1"/>
  <c r="C76" i="26"/>
  <c r="G15" i="12"/>
  <c r="G20" i="12"/>
  <c r="G19" i="12" s="1"/>
  <c r="AQ38" i="27"/>
  <c r="AQ11" i="27" s="1"/>
  <c r="AP42" i="27"/>
  <c r="AR38" i="27"/>
  <c r="AR11" i="27" s="1"/>
  <c r="L15" i="12"/>
  <c r="M15" i="12"/>
  <c r="M20" i="12"/>
  <c r="M19" i="12" s="1"/>
  <c r="E19" i="12"/>
  <c r="E41" i="10"/>
  <c r="AA11" i="27"/>
  <c r="D22" i="29"/>
  <c r="D21" i="29" s="1"/>
  <c r="AW12" i="27"/>
  <c r="AW41" i="27"/>
  <c r="C33" i="27"/>
  <c r="BC33" i="27"/>
  <c r="AV33" i="27" s="1"/>
  <c r="BC13" i="27"/>
  <c r="AV13" i="27" s="1"/>
  <c r="BE12" i="27"/>
  <c r="D14" i="14"/>
  <c r="D13" i="14" s="1"/>
  <c r="L13" i="14"/>
  <c r="L18" i="14"/>
  <c r="L17" i="14" s="1"/>
  <c r="M13" i="14"/>
  <c r="M18" i="14"/>
  <c r="M17" i="14" s="1"/>
  <c r="N13" i="14"/>
  <c r="N18" i="14"/>
  <c r="N17" i="14" s="1"/>
  <c r="I13" i="14"/>
  <c r="I18" i="14"/>
  <c r="I17" i="14" s="1"/>
  <c r="E17" i="14"/>
  <c r="G18" i="14"/>
  <c r="G17" i="14" s="1"/>
  <c r="G13" i="14"/>
  <c r="AY38" i="27"/>
  <c r="AY11" i="27" s="1"/>
  <c r="H18" i="14"/>
  <c r="H17" i="14" s="1"/>
  <c r="H13" i="14"/>
  <c r="AS39" i="27"/>
  <c r="AS38" i="27" s="1"/>
  <c r="AS11" i="27" s="1"/>
  <c r="E25" i="13"/>
  <c r="H26" i="13"/>
  <c r="H25" i="13" s="1"/>
  <c r="H21" i="13"/>
  <c r="L26" i="13"/>
  <c r="L25" i="13" s="1"/>
  <c r="L21" i="13"/>
  <c r="G21" i="13"/>
  <c r="G26" i="13"/>
  <c r="G25" i="13" s="1"/>
  <c r="D22" i="13"/>
  <c r="D21" i="13" s="1"/>
  <c r="M21" i="13"/>
  <c r="M26" i="13"/>
  <c r="M25" i="13" s="1"/>
  <c r="I21" i="13"/>
  <c r="I26" i="13"/>
  <c r="I25" i="13" s="1"/>
  <c r="AF11" i="27"/>
  <c r="G13" i="9"/>
  <c r="G18" i="9"/>
  <c r="AD38" i="27"/>
  <c r="AD12" i="27"/>
  <c r="W18" i="27"/>
  <c r="J13" i="9"/>
  <c r="J18" i="9"/>
  <c r="J17" i="9" s="1"/>
  <c r="K13" i="9"/>
  <c r="K18" i="9"/>
  <c r="K17" i="9" s="1"/>
  <c r="I13" i="9"/>
  <c r="I18" i="9"/>
  <c r="I17" i="9" s="1"/>
  <c r="M13" i="9"/>
  <c r="M18" i="9"/>
  <c r="M17" i="9" s="1"/>
  <c r="I29" i="3"/>
  <c r="I28" i="3" s="1"/>
  <c r="D11" i="9"/>
  <c r="H13" i="9"/>
  <c r="D14" i="9"/>
  <c r="D13" i="9" s="1"/>
  <c r="D14" i="12"/>
  <c r="D13" i="12" s="1"/>
  <c r="L27" i="1" s="1"/>
  <c r="F27" i="1" s="1"/>
  <c r="D27" i="1" s="1"/>
  <c r="H16" i="12"/>
  <c r="J16" i="12"/>
  <c r="I16" i="12"/>
  <c r="K13" i="12"/>
  <c r="AR44" i="27" s="1"/>
  <c r="AP44" i="27" s="1"/>
  <c r="K16" i="12"/>
  <c r="K25" i="3" l="1"/>
  <c r="K20" i="3"/>
  <c r="O45" i="27" s="1"/>
  <c r="L21" i="3"/>
  <c r="F24" i="3"/>
  <c r="D16" i="12"/>
  <c r="D15" i="12" s="1"/>
  <c r="I20" i="3"/>
  <c r="O43" i="27" s="1"/>
  <c r="N43" i="27" s="1"/>
  <c r="F20" i="3"/>
  <c r="O40" i="27" s="1"/>
  <c r="N40" i="27" s="1"/>
  <c r="G21" i="3"/>
  <c r="D21" i="3" s="1"/>
  <c r="K14" i="1" s="1"/>
  <c r="J21" i="3"/>
  <c r="AJ40" i="27"/>
  <c r="G25" i="3"/>
  <c r="L19" i="7"/>
  <c r="L21" i="7" s="1"/>
  <c r="L20" i="7" s="1"/>
  <c r="E29" i="3"/>
  <c r="E20" i="3"/>
  <c r="O39" i="27" s="1"/>
  <c r="G38" i="10"/>
  <c r="I19" i="7"/>
  <c r="I21" i="7"/>
  <c r="I20" i="7" s="1"/>
  <c r="M35" i="10"/>
  <c r="AL45" i="27" s="1"/>
  <c r="AJ45" i="27" s="1"/>
  <c r="M38" i="10"/>
  <c r="I38" i="10"/>
  <c r="L38" i="10"/>
  <c r="AP38" i="27"/>
  <c r="AP11" i="27" s="1"/>
  <c r="G21" i="7"/>
  <c r="G20" i="7" s="1"/>
  <c r="G19" i="7"/>
  <c r="H19" i="7"/>
  <c r="H21" i="7"/>
  <c r="H20" i="7" s="1"/>
  <c r="AJ41" i="27"/>
  <c r="M19" i="7"/>
  <c r="M18" i="7" s="1"/>
  <c r="Z45" i="27" s="1"/>
  <c r="M21" i="7"/>
  <c r="M20" i="7" s="1"/>
  <c r="K19" i="7"/>
  <c r="K21" i="7" s="1"/>
  <c r="K20" i="7" s="1"/>
  <c r="AK12" i="27"/>
  <c r="D19" i="27"/>
  <c r="H37" i="10"/>
  <c r="H42" i="10"/>
  <c r="H41" i="10" s="1"/>
  <c r="J19" i="7"/>
  <c r="J21" i="7" s="1"/>
  <c r="J20" i="7" s="1"/>
  <c r="N35" i="10"/>
  <c r="AL46" i="27" s="1"/>
  <c r="AJ46" i="27" s="1"/>
  <c r="N38" i="10"/>
  <c r="F38" i="10"/>
  <c r="D36" i="10"/>
  <c r="D35" i="10" s="1"/>
  <c r="L25" i="1" s="1"/>
  <c r="F25" i="1" s="1"/>
  <c r="D25" i="1" s="1"/>
  <c r="F35" i="10"/>
  <c r="AL19" i="27" s="1"/>
  <c r="H20" i="3"/>
  <c r="O42" i="27" s="1"/>
  <c r="N42" i="27" s="1"/>
  <c r="H25" i="3"/>
  <c r="AJ39" i="27"/>
  <c r="AK38" i="27"/>
  <c r="F19" i="7"/>
  <c r="F21" i="7" s="1"/>
  <c r="AJ44" i="27"/>
  <c r="K35" i="10"/>
  <c r="AL43" i="27" s="1"/>
  <c r="AJ43" i="27" s="1"/>
  <c r="K38" i="10"/>
  <c r="N19" i="7"/>
  <c r="N21" i="7" s="1"/>
  <c r="N20" i="7" s="1"/>
  <c r="J38" i="10"/>
  <c r="K15" i="12"/>
  <c r="K20" i="12"/>
  <c r="K19" i="12" s="1"/>
  <c r="I15" i="12"/>
  <c r="I20" i="12"/>
  <c r="I19" i="12" s="1"/>
  <c r="J15" i="12"/>
  <c r="J20" i="12"/>
  <c r="J19" i="12" s="1"/>
  <c r="H15" i="12"/>
  <c r="H20" i="12"/>
  <c r="L23" i="1"/>
  <c r="AW38" i="27"/>
  <c r="AW11" i="27" s="1"/>
  <c r="N45" i="27"/>
  <c r="BC12" i="27"/>
  <c r="AV12" i="27"/>
  <c r="D18" i="14"/>
  <c r="D17" i="14" s="1"/>
  <c r="D26" i="13"/>
  <c r="D25" i="13" s="1"/>
  <c r="D17" i="7"/>
  <c r="E25" i="7"/>
  <c r="AD11" i="27"/>
  <c r="G17" i="9"/>
  <c r="D18" i="9"/>
  <c r="D17" i="9" s="1"/>
  <c r="E28" i="3"/>
  <c r="K16" i="7"/>
  <c r="Y43" i="27" s="1"/>
  <c r="J16" i="7"/>
  <c r="Y42" i="27" s="1"/>
  <c r="J18" i="7"/>
  <c r="Z42" i="27" s="1"/>
  <c r="I18" i="7"/>
  <c r="Z41" i="27" s="1"/>
  <c r="I16" i="7"/>
  <c r="Y41" i="27" s="1"/>
  <c r="L18" i="7"/>
  <c r="Z44" i="27" s="1"/>
  <c r="L16" i="7"/>
  <c r="Y44" i="27" s="1"/>
  <c r="M16" i="7"/>
  <c r="Y45" i="27" s="1"/>
  <c r="N18" i="7"/>
  <c r="Z46" i="27" s="1"/>
  <c r="N16" i="7"/>
  <c r="Y46" i="27" s="1"/>
  <c r="G18" i="7"/>
  <c r="Z39" i="27" s="1"/>
  <c r="G16" i="7"/>
  <c r="Y39" i="27" s="1"/>
  <c r="F16" i="7"/>
  <c r="Y16" i="27" s="1"/>
  <c r="D16" i="27" s="1"/>
  <c r="H18" i="7"/>
  <c r="Z40" i="27" s="1"/>
  <c r="H16" i="7"/>
  <c r="Y40" i="27" s="1"/>
  <c r="K21" i="5"/>
  <c r="G20" i="3" l="1"/>
  <c r="O41" i="27" s="1"/>
  <c r="N41" i="27" s="1"/>
  <c r="J25" i="3"/>
  <c r="J20" i="3"/>
  <c r="O44" i="27" s="1"/>
  <c r="N44" i="27" s="1"/>
  <c r="K18" i="7"/>
  <c r="Z43" i="27" s="1"/>
  <c r="Z38" i="27" s="1"/>
  <c r="O38" i="27"/>
  <c r="L25" i="3"/>
  <c r="L20" i="3"/>
  <c r="O37" i="27" s="1"/>
  <c r="K29" i="3"/>
  <c r="K28" i="3" s="1"/>
  <c r="K24" i="3"/>
  <c r="F20" i="7"/>
  <c r="D21" i="7"/>
  <c r="D20" i="7" s="1"/>
  <c r="J37" i="10"/>
  <c r="J42" i="10"/>
  <c r="J41" i="10" s="1"/>
  <c r="N42" i="10"/>
  <c r="N41" i="10" s="1"/>
  <c r="N37" i="10"/>
  <c r="L37" i="10"/>
  <c r="L42" i="10"/>
  <c r="L41" i="10" s="1"/>
  <c r="F37" i="10"/>
  <c r="F42" i="10"/>
  <c r="N39" i="27"/>
  <c r="N38" i="27" s="1"/>
  <c r="AK11" i="27"/>
  <c r="AL38" i="27"/>
  <c r="I37" i="10"/>
  <c r="I42" i="10"/>
  <c r="I41" i="10" s="1"/>
  <c r="AJ38" i="27"/>
  <c r="M37" i="10"/>
  <c r="M42" i="10"/>
  <c r="M41" i="10" s="1"/>
  <c r="H29" i="3"/>
  <c r="H28" i="3" s="1"/>
  <c r="H24" i="3"/>
  <c r="D25" i="3"/>
  <c r="D24" i="3" s="1"/>
  <c r="J14" i="1"/>
  <c r="H14" i="1"/>
  <c r="I14" i="1" s="1"/>
  <c r="K37" i="10"/>
  <c r="K42" i="10"/>
  <c r="K41" i="10" s="1"/>
  <c r="G37" i="10"/>
  <c r="G42" i="10"/>
  <c r="G41" i="10" s="1"/>
  <c r="AL12" i="27"/>
  <c r="AJ19" i="27"/>
  <c r="AJ12" i="27" s="1"/>
  <c r="E19" i="27"/>
  <c r="C19" i="27" s="1"/>
  <c r="G24" i="3"/>
  <c r="G29" i="3"/>
  <c r="H19" i="12"/>
  <c r="D20" i="12"/>
  <c r="D19" i="12" s="1"/>
  <c r="X46" i="27"/>
  <c r="X42" i="27"/>
  <c r="X41" i="27"/>
  <c r="X44" i="27"/>
  <c r="X40" i="27"/>
  <c r="X45" i="27"/>
  <c r="I25" i="7"/>
  <c r="I24" i="7" s="1"/>
  <c r="X39" i="27"/>
  <c r="Y38" i="27"/>
  <c r="K25" i="7"/>
  <c r="K24" i="7" s="1"/>
  <c r="Y12" i="27"/>
  <c r="X43" i="27"/>
  <c r="E24" i="7"/>
  <c r="F18" i="7"/>
  <c r="Z16" i="27" s="1"/>
  <c r="D19" i="7"/>
  <c r="D18" i="7" s="1"/>
  <c r="F30" i="7" s="1"/>
  <c r="F25" i="7"/>
  <c r="F24" i="7" s="1"/>
  <c r="V43" i="28"/>
  <c r="D37" i="27" l="1"/>
  <c r="C37" i="27" s="1"/>
  <c r="O12" i="27"/>
  <c r="O11" i="27" s="1"/>
  <c r="N37" i="27"/>
  <c r="L29" i="3"/>
  <c r="L28" i="3" s="1"/>
  <c r="L24" i="3"/>
  <c r="J24" i="3"/>
  <c r="J29" i="3"/>
  <c r="J28" i="3" s="1"/>
  <c r="AL11" i="27"/>
  <c r="G28" i="3"/>
  <c r="D29" i="3"/>
  <c r="D28" i="3" s="1"/>
  <c r="AJ11" i="27"/>
  <c r="F41" i="10"/>
  <c r="D42" i="10"/>
  <c r="D41" i="10" s="1"/>
  <c r="X16" i="27"/>
  <c r="X12" i="27" s="1"/>
  <c r="E16" i="27"/>
  <c r="L21" i="1"/>
  <c r="Y11" i="27"/>
  <c r="G25" i="7"/>
  <c r="G24" i="7" s="1"/>
  <c r="L25" i="7"/>
  <c r="L24" i="7" s="1"/>
  <c r="Z12" i="27"/>
  <c r="Z11" i="27" s="1"/>
  <c r="X38" i="27"/>
  <c r="J25" i="7"/>
  <c r="J24" i="7" s="1"/>
  <c r="N25" i="7"/>
  <c r="N24" i="7" s="1"/>
  <c r="H25" i="7"/>
  <c r="H24" i="7" s="1"/>
  <c r="M25" i="7"/>
  <c r="M24" i="7" s="1"/>
  <c r="V51" i="28"/>
  <c r="V52" i="28"/>
  <c r="V53" i="28"/>
  <c r="V54" i="28"/>
  <c r="V55" i="28"/>
  <c r="V56" i="28"/>
  <c r="V57" i="28"/>
  <c r="V50" i="28"/>
  <c r="V48" i="28"/>
  <c r="V47" i="28"/>
  <c r="V41" i="28"/>
  <c r="V42" i="28"/>
  <c r="V44" i="28"/>
  <c r="V45" i="28"/>
  <c r="V40" i="28"/>
  <c r="V32" i="28"/>
  <c r="V33" i="28"/>
  <c r="V34" i="28"/>
  <c r="V35" i="28"/>
  <c r="V36" i="28"/>
  <c r="V37" i="28"/>
  <c r="V38" i="28"/>
  <c r="V31" i="28"/>
  <c r="V12" i="28"/>
  <c r="V13" i="28"/>
  <c r="V14" i="28"/>
  <c r="V15" i="28"/>
  <c r="V11" i="28"/>
  <c r="L49" i="28"/>
  <c r="O49" i="28"/>
  <c r="P49" i="28"/>
  <c r="R49" i="28"/>
  <c r="T49" i="28"/>
  <c r="U49" i="28"/>
  <c r="Y49" i="28"/>
  <c r="I17" i="5" s="1"/>
  <c r="K49" i="28"/>
  <c r="L46" i="28"/>
  <c r="M46" i="28"/>
  <c r="N46" i="28"/>
  <c r="O46" i="28"/>
  <c r="P46" i="28"/>
  <c r="Q46" i="28"/>
  <c r="R46" i="28"/>
  <c r="S46" i="28"/>
  <c r="T46" i="28"/>
  <c r="U46" i="28"/>
  <c r="W46" i="28"/>
  <c r="Y46" i="28"/>
  <c r="H17" i="5" s="1"/>
  <c r="K46" i="28"/>
  <c r="L39" i="28"/>
  <c r="M39" i="28"/>
  <c r="N39" i="28"/>
  <c r="O39" i="28"/>
  <c r="P39" i="28"/>
  <c r="R39" i="28"/>
  <c r="S39" i="28"/>
  <c r="T39" i="28"/>
  <c r="U39" i="28"/>
  <c r="W39" i="28"/>
  <c r="Y39" i="28"/>
  <c r="G17" i="5" s="1"/>
  <c r="Z39" i="28"/>
  <c r="AA39" i="28"/>
  <c r="AC39" i="28"/>
  <c r="K39" i="28"/>
  <c r="L30" i="28"/>
  <c r="M30" i="28"/>
  <c r="N30" i="28"/>
  <c r="O30" i="28"/>
  <c r="P30" i="28"/>
  <c r="Q30" i="28"/>
  <c r="R30" i="28"/>
  <c r="S30" i="28"/>
  <c r="T30" i="28"/>
  <c r="U30" i="28"/>
  <c r="W30" i="28"/>
  <c r="X30" i="28"/>
  <c r="Y30" i="28"/>
  <c r="J17" i="5" s="1"/>
  <c r="K30" i="28"/>
  <c r="M21" i="28"/>
  <c r="N21" i="28"/>
  <c r="O21" i="28"/>
  <c r="P21" i="28"/>
  <c r="R21" i="28"/>
  <c r="S21" i="28"/>
  <c r="T21" i="28"/>
  <c r="W21" i="28"/>
  <c r="L16" i="28"/>
  <c r="M16" i="28"/>
  <c r="N16" i="28"/>
  <c r="O16" i="28"/>
  <c r="P16" i="28"/>
  <c r="R16" i="28"/>
  <c r="R9" i="28" s="1"/>
  <c r="S16" i="28"/>
  <c r="T16" i="28"/>
  <c r="U16" i="28"/>
  <c r="L10" i="28"/>
  <c r="M10" i="28"/>
  <c r="N10" i="28"/>
  <c r="O10" i="28"/>
  <c r="P10" i="28"/>
  <c r="R10" i="28"/>
  <c r="S10" i="28"/>
  <c r="T10" i="28"/>
  <c r="U10" i="28"/>
  <c r="W10" i="28"/>
  <c r="X10" i="28"/>
  <c r="Y10" i="28"/>
  <c r="F17" i="5" s="1"/>
  <c r="K10" i="28"/>
  <c r="X57" i="28"/>
  <c r="Q57" i="28"/>
  <c r="N57" i="28"/>
  <c r="M57" i="28"/>
  <c r="X56" i="28"/>
  <c r="Q56" i="28"/>
  <c r="N56" i="28"/>
  <c r="M56" i="28"/>
  <c r="X55" i="28"/>
  <c r="Q55" i="28"/>
  <c r="N55" i="28"/>
  <c r="M55" i="28"/>
  <c r="X54" i="28"/>
  <c r="Q54" i="28"/>
  <c r="N54" i="28"/>
  <c r="M54" i="28"/>
  <c r="X53" i="28"/>
  <c r="Q53" i="28"/>
  <c r="Q49" i="28" s="1"/>
  <c r="N53" i="28"/>
  <c r="M53" i="28"/>
  <c r="X52" i="28"/>
  <c r="W52" i="28"/>
  <c r="S52" i="28"/>
  <c r="M52" i="28"/>
  <c r="N52" i="28" s="1"/>
  <c r="X51" i="28"/>
  <c r="S51" i="28"/>
  <c r="M51" i="28"/>
  <c r="N51" i="28" s="1"/>
  <c r="X50" i="28"/>
  <c r="W50" i="28"/>
  <c r="W49" i="28" s="1"/>
  <c r="S50" i="28"/>
  <c r="S49" i="28" s="1"/>
  <c r="M50" i="28"/>
  <c r="N50" i="28" s="1"/>
  <c r="N49" i="28" s="1"/>
  <c r="AB49" i="28"/>
  <c r="AA49" i="28"/>
  <c r="Z49" i="28"/>
  <c r="X48" i="28"/>
  <c r="X47" i="28"/>
  <c r="X46" i="28" s="1"/>
  <c r="AB46" i="28"/>
  <c r="AA46" i="28"/>
  <c r="Z46" i="28"/>
  <c r="X45" i="28"/>
  <c r="AB45" i="28" s="1"/>
  <c r="Q45" i="28"/>
  <c r="X44" i="28"/>
  <c r="AB44" i="28" s="1"/>
  <c r="Q44" i="28"/>
  <c r="X43" i="28"/>
  <c r="AB43" i="28" s="1"/>
  <c r="Q43" i="28"/>
  <c r="X42" i="28"/>
  <c r="AB42" i="28" s="1"/>
  <c r="Q42" i="28"/>
  <c r="X41" i="28"/>
  <c r="AB41" i="28" s="1"/>
  <c r="Q41" i="28"/>
  <c r="X40" i="28"/>
  <c r="AB40" i="28" s="1"/>
  <c r="Q40" i="28"/>
  <c r="AB30" i="28"/>
  <c r="AA30" i="28"/>
  <c r="Z30" i="28"/>
  <c r="AB29" i="28"/>
  <c r="X29" i="28"/>
  <c r="U29" i="28"/>
  <c r="Q29" i="28" s="1"/>
  <c r="L29" i="28"/>
  <c r="AB28" i="28"/>
  <c r="X28" i="28"/>
  <c r="Q28" i="28"/>
  <c r="L28" i="28"/>
  <c r="AB27" i="28"/>
  <c r="X27" i="28"/>
  <c r="Q27" i="28"/>
  <c r="K27" i="28" s="1"/>
  <c r="V27" i="28" s="1"/>
  <c r="X26" i="28"/>
  <c r="Q26" i="28"/>
  <c r="K26" i="28" s="1"/>
  <c r="V26" i="28" s="1"/>
  <c r="X25" i="28"/>
  <c r="Q25" i="28"/>
  <c r="K25" i="28" s="1"/>
  <c r="V25" i="28" s="1"/>
  <c r="AB24" i="28"/>
  <c r="X24" i="28"/>
  <c r="U24" i="28"/>
  <c r="Q24" i="28" s="1"/>
  <c r="K24" i="28" s="1"/>
  <c r="V24" i="28" s="1"/>
  <c r="AB23" i="28"/>
  <c r="Y23" i="28"/>
  <c r="Y21" i="28" s="1"/>
  <c r="L17" i="5" s="1"/>
  <c r="U23" i="28"/>
  <c r="AB22" i="28"/>
  <c r="X22" i="28"/>
  <c r="Q22" i="28"/>
  <c r="AA21" i="28"/>
  <c r="Z21" i="28"/>
  <c r="X20" i="28"/>
  <c r="AB20" i="28" s="1"/>
  <c r="Q20" i="28"/>
  <c r="K20" i="28" s="1"/>
  <c r="V20" i="28" s="1"/>
  <c r="X19" i="28"/>
  <c r="AB19" i="28" s="1"/>
  <c r="Q19" i="28"/>
  <c r="K19" i="28" s="1"/>
  <c r="V19" i="28" s="1"/>
  <c r="X18" i="28"/>
  <c r="W18" i="28"/>
  <c r="Q18" i="28"/>
  <c r="K18" i="28" s="1"/>
  <c r="V18" i="28" s="1"/>
  <c r="X17" i="28"/>
  <c r="W17" i="28"/>
  <c r="W16" i="28" s="1"/>
  <c r="Q17" i="28"/>
  <c r="K17" i="28" s="1"/>
  <c r="AA16" i="28"/>
  <c r="Z16" i="28"/>
  <c r="Q14" i="28"/>
  <c r="J14" i="28"/>
  <c r="I14" i="28"/>
  <c r="Q13" i="28"/>
  <c r="Q12" i="28"/>
  <c r="J12" i="28"/>
  <c r="J15" i="28" s="1"/>
  <c r="I12" i="28"/>
  <c r="H12" i="28"/>
  <c r="Q11" i="28"/>
  <c r="AB10" i="28"/>
  <c r="AA10" i="28"/>
  <c r="Z10" i="28"/>
  <c r="U11" i="5"/>
  <c r="U16" i="5" s="1"/>
  <c r="U12" i="5" s="1"/>
  <c r="T11" i="5"/>
  <c r="T16" i="5" s="1"/>
  <c r="T12" i="5" s="1"/>
  <c r="S11" i="5"/>
  <c r="S16" i="5" s="1"/>
  <c r="S12" i="5" s="1"/>
  <c r="R11" i="5"/>
  <c r="R16" i="5" s="1"/>
  <c r="R12" i="5" s="1"/>
  <c r="Q11" i="5"/>
  <c r="Q16" i="5" s="1"/>
  <c r="Q12" i="5" s="1"/>
  <c r="P11" i="5"/>
  <c r="P16" i="5" s="1"/>
  <c r="O11" i="5"/>
  <c r="O16" i="5" s="1"/>
  <c r="O12" i="5" s="1"/>
  <c r="T9" i="28" l="1"/>
  <c r="P9" i="28"/>
  <c r="Q10" i="28"/>
  <c r="X21" i="28"/>
  <c r="X16" i="28"/>
  <c r="X49" i="28"/>
  <c r="Q39" i="28"/>
  <c r="O9" i="28"/>
  <c r="AB39" i="28"/>
  <c r="U21" i="28"/>
  <c r="U9" i="28" s="1"/>
  <c r="N12" i="27"/>
  <c r="N11" i="27" s="1"/>
  <c r="M37" i="27"/>
  <c r="M12" i="27" s="1"/>
  <c r="X11" i="27"/>
  <c r="N9" i="28"/>
  <c r="W9" i="28"/>
  <c r="V17" i="28"/>
  <c r="K16" i="28"/>
  <c r="S9" i="28"/>
  <c r="Q16" i="28"/>
  <c r="X39" i="28"/>
  <c r="X9" i="28" s="1"/>
  <c r="G18" i="5"/>
  <c r="L21" i="28"/>
  <c r="L9" i="28" s="1"/>
  <c r="I18" i="5"/>
  <c r="I19" i="5" s="1"/>
  <c r="I21" i="5" s="1"/>
  <c r="W16" i="27"/>
  <c r="F18" i="5"/>
  <c r="F19" i="5"/>
  <c r="E17" i="5"/>
  <c r="M25" i="5" s="1"/>
  <c r="L18" i="5"/>
  <c r="L19" i="5" s="1"/>
  <c r="L21" i="5" s="1"/>
  <c r="D16" i="5"/>
  <c r="D12" i="5" s="1"/>
  <c r="P12" i="5"/>
  <c r="J18" i="5"/>
  <c r="J19" i="5" s="1"/>
  <c r="J21" i="5" s="1"/>
  <c r="H18" i="5"/>
  <c r="H19" i="5" s="1"/>
  <c r="H21" i="5" s="1"/>
  <c r="Y9" i="28"/>
  <c r="M49" i="28"/>
  <c r="M9" i="28" s="1"/>
  <c r="C16" i="27"/>
  <c r="E12" i="27"/>
  <c r="D25" i="7"/>
  <c r="D24" i="7" s="1"/>
  <c r="Z9" i="28"/>
  <c r="AA9" i="28"/>
  <c r="K29" i="28"/>
  <c r="V29" i="28" s="1"/>
  <c r="AB21" i="28"/>
  <c r="Q23" i="28"/>
  <c r="K23" i="28" s="1"/>
  <c r="V23" i="28" s="1"/>
  <c r="AB16" i="28"/>
  <c r="K28" i="28"/>
  <c r="V28" i="28" s="1"/>
  <c r="K22" i="28"/>
  <c r="D9" i="2"/>
  <c r="D8" i="2"/>
  <c r="F12" i="2"/>
  <c r="G12" i="2"/>
  <c r="H12" i="2"/>
  <c r="I12" i="2"/>
  <c r="J12" i="2"/>
  <c r="K12" i="2"/>
  <c r="L12" i="2"/>
  <c r="E12" i="2"/>
  <c r="F11" i="2"/>
  <c r="G11" i="2"/>
  <c r="G10" i="2" s="1"/>
  <c r="H11" i="2"/>
  <c r="H10" i="2" s="1"/>
  <c r="I11" i="2"/>
  <c r="I10" i="2" s="1"/>
  <c r="J11" i="2"/>
  <c r="J10" i="2" s="1"/>
  <c r="K11" i="2"/>
  <c r="K10" i="2" s="1"/>
  <c r="L11" i="2"/>
  <c r="L10" i="2" s="1"/>
  <c r="E11" i="2"/>
  <c r="E10" i="2" s="1"/>
  <c r="D12" i="2" l="1"/>
  <c r="F10" i="2"/>
  <c r="Q17" i="5"/>
  <c r="R17" i="5"/>
  <c r="O17" i="5"/>
  <c r="S17" i="5"/>
  <c r="U17" i="5"/>
  <c r="V17" i="5"/>
  <c r="T17" i="5"/>
  <c r="P17" i="5"/>
  <c r="G19" i="5"/>
  <c r="G21" i="5" s="1"/>
  <c r="Q21" i="28"/>
  <c r="Q9" i="28" s="1"/>
  <c r="F21" i="5"/>
  <c r="E18" i="5"/>
  <c r="K21" i="28"/>
  <c r="K9" i="28" s="1"/>
  <c r="V22" i="28"/>
  <c r="D11" i="2"/>
  <c r="D10" i="2" s="1"/>
  <c r="I14" i="2" s="1"/>
  <c r="AB9" i="28"/>
  <c r="I15" i="2"/>
  <c r="H14" i="2"/>
  <c r="G15" i="2"/>
  <c r="G18" i="2" s="1"/>
  <c r="F14" i="2"/>
  <c r="K15" i="2" l="1"/>
  <c r="E21" i="5"/>
  <c r="E19" i="5"/>
  <c r="H43" i="27"/>
  <c r="I17" i="2"/>
  <c r="H40" i="27"/>
  <c r="F17" i="2"/>
  <c r="K45" i="27"/>
  <c r="K18" i="2"/>
  <c r="L45" i="27" s="1"/>
  <c r="J45" i="27" s="1"/>
  <c r="O18" i="5"/>
  <c r="O19" i="5"/>
  <c r="M17" i="5"/>
  <c r="K17" i="1"/>
  <c r="R39" i="27"/>
  <c r="K43" i="27"/>
  <c r="I18" i="2"/>
  <c r="R18" i="5"/>
  <c r="R42" i="27"/>
  <c r="U18" i="5"/>
  <c r="S45" i="27" s="1"/>
  <c r="R45" i="27"/>
  <c r="J14" i="2"/>
  <c r="J13" i="2" s="1"/>
  <c r="G14" i="2"/>
  <c r="G13" i="2" s="1"/>
  <c r="Q18" i="5"/>
  <c r="R41" i="27"/>
  <c r="S18" i="5"/>
  <c r="R43" i="27"/>
  <c r="K14" i="2"/>
  <c r="H15" i="2"/>
  <c r="P18" i="5"/>
  <c r="R40" i="27"/>
  <c r="H42" i="27"/>
  <c r="H17" i="2"/>
  <c r="E14" i="2"/>
  <c r="T18" i="5"/>
  <c r="R44" i="27"/>
  <c r="J15" i="2"/>
  <c r="E15" i="2"/>
  <c r="L14" i="2"/>
  <c r="F15" i="2"/>
  <c r="L15" i="2"/>
  <c r="V18" i="5"/>
  <c r="S46" i="27" s="1"/>
  <c r="R46" i="27"/>
  <c r="Q46" i="27" s="1"/>
  <c r="M46" i="27" s="1"/>
  <c r="L41" i="27"/>
  <c r="K41" i="27"/>
  <c r="G21" i="2"/>
  <c r="G27" i="2" s="1"/>
  <c r="H13" i="2"/>
  <c r="I13" i="2"/>
  <c r="K13" i="2"/>
  <c r="V19" i="5" l="1"/>
  <c r="V21" i="5" s="1"/>
  <c r="O21" i="5"/>
  <c r="J41" i="27"/>
  <c r="K46" i="27"/>
  <c r="L18" i="2"/>
  <c r="L46" i="27" s="1"/>
  <c r="J46" i="27" s="1"/>
  <c r="H39" i="27"/>
  <c r="E17" i="2"/>
  <c r="I39" i="27" s="1"/>
  <c r="S19" i="5"/>
  <c r="S21" i="5" s="1"/>
  <c r="S43" i="27"/>
  <c r="Q43" i="27" s="1"/>
  <c r="M43" i="27" s="1"/>
  <c r="M18" i="5"/>
  <c r="D18" i="5" s="1"/>
  <c r="S39" i="27"/>
  <c r="Q39" i="27" s="1"/>
  <c r="M39" i="27" s="1"/>
  <c r="L17" i="1"/>
  <c r="T19" i="5"/>
  <c r="T21" i="5" s="1"/>
  <c r="S44" i="27"/>
  <c r="Q44" i="27" s="1"/>
  <c r="M44" i="27" s="1"/>
  <c r="K40" i="27"/>
  <c r="F18" i="2"/>
  <c r="F21" i="2" s="1"/>
  <c r="F27" i="2" s="1"/>
  <c r="Q19" i="5"/>
  <c r="Q21" i="5" s="1"/>
  <c r="S41" i="27"/>
  <c r="Q41" i="27" s="1"/>
  <c r="M41" i="27" s="1"/>
  <c r="H46" i="27"/>
  <c r="L17" i="2"/>
  <c r="I46" i="27" s="1"/>
  <c r="G46" i="27" s="1"/>
  <c r="D15" i="2"/>
  <c r="K12" i="1" s="1"/>
  <c r="E18" i="2"/>
  <c r="L39" i="27" s="1"/>
  <c r="K39" i="27"/>
  <c r="Q40" i="27"/>
  <c r="M40" i="27" s="1"/>
  <c r="H41" i="27"/>
  <c r="G17" i="2"/>
  <c r="I41" i="27" s="1"/>
  <c r="G41" i="27" s="1"/>
  <c r="J18" i="2"/>
  <c r="L44" i="27" s="1"/>
  <c r="J21" i="2"/>
  <c r="J27" i="2" s="1"/>
  <c r="K44" i="27"/>
  <c r="P19" i="5"/>
  <c r="P21" i="5" s="1"/>
  <c r="S40" i="27"/>
  <c r="H44" i="27"/>
  <c r="J17" i="2"/>
  <c r="I44" i="27" s="1"/>
  <c r="G44" i="27" s="1"/>
  <c r="R38" i="27"/>
  <c r="R11" i="27" s="1"/>
  <c r="R19" i="5"/>
  <c r="R21" i="5" s="1"/>
  <c r="S42" i="27"/>
  <c r="Q42" i="27" s="1"/>
  <c r="D14" i="2"/>
  <c r="K11" i="1" s="1"/>
  <c r="K42" i="27"/>
  <c r="H18" i="2"/>
  <c r="Q45" i="27"/>
  <c r="M45" i="27" s="1"/>
  <c r="E13" i="2"/>
  <c r="L13" i="2"/>
  <c r="F13" i="2"/>
  <c r="H45" i="27"/>
  <c r="K17" i="2"/>
  <c r="K20" i="2" s="1"/>
  <c r="U19" i="5"/>
  <c r="U21" i="5" s="1"/>
  <c r="F41" i="27"/>
  <c r="K21" i="2"/>
  <c r="K27" i="2" s="1"/>
  <c r="H21" i="2"/>
  <c r="H27" i="2" s="1"/>
  <c r="L42" i="27"/>
  <c r="J42" i="27" s="1"/>
  <c r="I21" i="2"/>
  <c r="L43" i="27"/>
  <c r="J43" i="27" s="1"/>
  <c r="F20" i="2"/>
  <c r="F26" i="2" s="1"/>
  <c r="I40" i="27"/>
  <c r="G40" i="27" s="1"/>
  <c r="K16" i="2"/>
  <c r="I45" i="27"/>
  <c r="H20" i="2"/>
  <c r="H26" i="2" s="1"/>
  <c r="I42" i="27"/>
  <c r="G42" i="27" s="1"/>
  <c r="I16" i="2"/>
  <c r="I43" i="27"/>
  <c r="G43" i="27" s="1"/>
  <c r="I20" i="2"/>
  <c r="G16" i="2"/>
  <c r="F16" i="2"/>
  <c r="H16" i="2"/>
  <c r="J20" i="2" l="1"/>
  <c r="L40" i="27"/>
  <c r="J40" i="27" s="1"/>
  <c r="L21" i="2"/>
  <c r="L27" i="2" s="1"/>
  <c r="M42" i="27"/>
  <c r="M38" i="27" s="1"/>
  <c r="M11" i="27" s="1"/>
  <c r="Q38" i="27"/>
  <c r="Q11" i="27" s="1"/>
  <c r="L16" i="2"/>
  <c r="J44" i="27"/>
  <c r="F44" i="27" s="1"/>
  <c r="G39" i="27"/>
  <c r="G38" i="27" s="1"/>
  <c r="G11" i="27" s="1"/>
  <c r="H38" i="27"/>
  <c r="H11" i="27" s="1"/>
  <c r="S38" i="27"/>
  <c r="S11" i="27" s="1"/>
  <c r="L20" i="2"/>
  <c r="D20" i="2" s="1"/>
  <c r="M21" i="5"/>
  <c r="D21" i="5" s="1"/>
  <c r="D18" i="2"/>
  <c r="L12" i="1" s="1"/>
  <c r="E20" i="2"/>
  <c r="E26" i="2" s="1"/>
  <c r="D17" i="2"/>
  <c r="L11" i="1" s="1"/>
  <c r="J16" i="2"/>
  <c r="E21" i="2"/>
  <c r="D21" i="2" s="1"/>
  <c r="M19" i="5"/>
  <c r="D19" i="5" s="1"/>
  <c r="E16" i="2"/>
  <c r="G45" i="27"/>
  <c r="F45" i="27" s="1"/>
  <c r="G20" i="2"/>
  <c r="G26" i="2" s="1"/>
  <c r="G25" i="2" s="1"/>
  <c r="K38" i="27"/>
  <c r="K11" i="27" s="1"/>
  <c r="I27" i="2"/>
  <c r="E27" i="2"/>
  <c r="E25" i="2" s="1"/>
  <c r="F19" i="2"/>
  <c r="F25" i="2"/>
  <c r="F42" i="27"/>
  <c r="H25" i="2"/>
  <c r="H19" i="2"/>
  <c r="F40" i="27"/>
  <c r="K19" i="2"/>
  <c r="K26" i="2"/>
  <c r="K25" i="2" s="1"/>
  <c r="F43" i="27"/>
  <c r="L38" i="27"/>
  <c r="L11" i="27" s="1"/>
  <c r="J39" i="27"/>
  <c r="I19" i="2"/>
  <c r="I26" i="2"/>
  <c r="F46" i="27"/>
  <c r="J19" i="2"/>
  <c r="J26" i="2"/>
  <c r="J25" i="2" s="1"/>
  <c r="I38" i="27"/>
  <c r="I11" i="27" s="1"/>
  <c r="D16" i="2"/>
  <c r="E19" i="2"/>
  <c r="G19" i="2" l="1"/>
  <c r="L26" i="2"/>
  <c r="L25" i="2" s="1"/>
  <c r="L19" i="2"/>
  <c r="D26" i="2"/>
  <c r="D27" i="2"/>
  <c r="D25" i="2"/>
  <c r="I25" i="2"/>
  <c r="J38" i="27"/>
  <c r="J11" i="27" s="1"/>
  <c r="F39" i="27"/>
  <c r="F38" i="27" s="1"/>
  <c r="F11" i="27" s="1"/>
  <c r="D19" i="2"/>
  <c r="BF39" i="27"/>
  <c r="BG39" i="27"/>
  <c r="BH39" i="27"/>
  <c r="BI39" i="27"/>
  <c r="BJ39" i="27"/>
  <c r="BK39" i="27"/>
  <c r="BL39" i="27"/>
  <c r="BM39" i="27"/>
  <c r="BN39" i="27"/>
  <c r="BO39" i="27"/>
  <c r="BF40" i="27"/>
  <c r="BG40" i="27"/>
  <c r="BH40" i="27"/>
  <c r="BI40" i="27"/>
  <c r="BJ40" i="27"/>
  <c r="BK40" i="27"/>
  <c r="BL40" i="27"/>
  <c r="BM40" i="27"/>
  <c r="BN40" i="27"/>
  <c r="BO40" i="27"/>
  <c r="BF41" i="27"/>
  <c r="BG41" i="27"/>
  <c r="BH41" i="27"/>
  <c r="BI41" i="27"/>
  <c r="BJ41" i="27"/>
  <c r="BK41" i="27"/>
  <c r="BL41" i="27"/>
  <c r="BM41" i="27"/>
  <c r="BN41" i="27"/>
  <c r="BO41" i="27"/>
  <c r="BF42" i="27"/>
  <c r="BG42" i="27"/>
  <c r="BH42" i="27"/>
  <c r="BI42" i="27"/>
  <c r="BJ42" i="27"/>
  <c r="BK42" i="27"/>
  <c r="BL42" i="27"/>
  <c r="BM42" i="27"/>
  <c r="BN42" i="27"/>
  <c r="BO42" i="27"/>
  <c r="BF43" i="27"/>
  <c r="BG43" i="27"/>
  <c r="BH43" i="27"/>
  <c r="BI43" i="27"/>
  <c r="BJ43" i="27"/>
  <c r="BK43" i="27"/>
  <c r="BL43" i="27"/>
  <c r="BM43" i="27"/>
  <c r="BN43" i="27"/>
  <c r="BO43" i="27"/>
  <c r="BF44" i="27"/>
  <c r="BG44" i="27"/>
  <c r="BH44" i="27"/>
  <c r="BI44" i="27"/>
  <c r="BJ44" i="27"/>
  <c r="BK44" i="27"/>
  <c r="BL44" i="27"/>
  <c r="BM44" i="27"/>
  <c r="BN44" i="27"/>
  <c r="BO44" i="27"/>
  <c r="BF45" i="27"/>
  <c r="BG45" i="27"/>
  <c r="BH45" i="27"/>
  <c r="BI45" i="27"/>
  <c r="BJ45" i="27"/>
  <c r="BK45" i="27"/>
  <c r="BL45" i="27"/>
  <c r="BM45" i="27"/>
  <c r="BN45" i="27"/>
  <c r="BO45" i="27"/>
  <c r="BF46" i="27"/>
  <c r="BG46" i="27"/>
  <c r="BH46" i="27"/>
  <c r="BI46" i="27"/>
  <c r="BJ46" i="27"/>
  <c r="BK46" i="27"/>
  <c r="BL46" i="27"/>
  <c r="BM46" i="27"/>
  <c r="BN46" i="27"/>
  <c r="BO46" i="27"/>
  <c r="BF35" i="27"/>
  <c r="BG35" i="27"/>
  <c r="BH35" i="27"/>
  <c r="BI35" i="27"/>
  <c r="BJ35" i="27"/>
  <c r="BK35" i="27"/>
  <c r="BL35" i="27"/>
  <c r="BM35" i="27"/>
  <c r="BN35" i="27"/>
  <c r="BO35" i="27"/>
  <c r="BF36" i="27"/>
  <c r="BG36" i="27"/>
  <c r="BH36" i="27"/>
  <c r="BI36" i="27"/>
  <c r="BJ36" i="27"/>
  <c r="BK36" i="27"/>
  <c r="BL36" i="27"/>
  <c r="BM36" i="27"/>
  <c r="BN36" i="27"/>
  <c r="BO36" i="27"/>
  <c r="BR37" i="27"/>
  <c r="BO37" i="27"/>
  <c r="BN37" i="27"/>
  <c r="BK37" i="27"/>
  <c r="BJ37" i="27"/>
  <c r="BI37" i="27"/>
  <c r="BH37" i="27"/>
  <c r="BG37" i="27"/>
  <c r="BF37" i="27"/>
  <c r="BR36" i="27"/>
  <c r="BR35" i="27"/>
  <c r="BR34" i="27"/>
  <c r="BO34" i="27"/>
  <c r="BN34" i="27"/>
  <c r="BK34" i="27"/>
  <c r="BJ34" i="27"/>
  <c r="BI34" i="27"/>
  <c r="BH34" i="27"/>
  <c r="BG34" i="27"/>
  <c r="BF34" i="27"/>
  <c r="BR33" i="27"/>
  <c r="BO33" i="27"/>
  <c r="BN33" i="27"/>
  <c r="BK33" i="27"/>
  <c r="BJ33" i="27"/>
  <c r="BI33" i="27"/>
  <c r="BH33" i="27"/>
  <c r="BG33" i="27"/>
  <c r="BF33" i="27"/>
  <c r="BR32" i="27"/>
  <c r="BO32" i="27"/>
  <c r="BN32" i="27"/>
  <c r="BI32" i="27"/>
  <c r="BH32" i="27"/>
  <c r="BG32" i="27"/>
  <c r="BF32" i="27"/>
  <c r="BR31" i="27"/>
  <c r="BO31" i="27"/>
  <c r="BN31" i="27"/>
  <c r="BK31" i="27"/>
  <c r="BJ31" i="27"/>
  <c r="BI31" i="27"/>
  <c r="BH31" i="27"/>
  <c r="BG31" i="27"/>
  <c r="BF31" i="27"/>
  <c r="BR30" i="27"/>
  <c r="BO30" i="27"/>
  <c r="BN30" i="27"/>
  <c r="BK30" i="27"/>
  <c r="BJ30" i="27"/>
  <c r="BI30" i="27"/>
  <c r="BH30" i="27"/>
  <c r="BG30" i="27"/>
  <c r="BF30" i="27"/>
  <c r="BR29" i="27"/>
  <c r="BO29" i="27"/>
  <c r="BN29" i="27"/>
  <c r="BK29" i="27"/>
  <c r="BJ29" i="27"/>
  <c r="BI29" i="27"/>
  <c r="BH29" i="27"/>
  <c r="BG29" i="27"/>
  <c r="BF29" i="27"/>
  <c r="BR28" i="27"/>
  <c r="BO28" i="27"/>
  <c r="BN28" i="27"/>
  <c r="BK28" i="27"/>
  <c r="BJ28" i="27"/>
  <c r="BI28" i="27"/>
  <c r="BH28" i="27"/>
  <c r="BG28" i="27"/>
  <c r="BF28" i="27"/>
  <c r="BR27" i="27"/>
  <c r="BO27" i="27"/>
  <c r="BN27" i="27"/>
  <c r="BK27" i="27"/>
  <c r="BJ27" i="27"/>
  <c r="BI27" i="27"/>
  <c r="BH27" i="27"/>
  <c r="BG27" i="27"/>
  <c r="BF27" i="27"/>
  <c r="BR26" i="27"/>
  <c r="BO26" i="27"/>
  <c r="BN26" i="27"/>
  <c r="BK26" i="27"/>
  <c r="BJ26" i="27"/>
  <c r="BI26" i="27"/>
  <c r="BH26" i="27"/>
  <c r="BG26" i="27"/>
  <c r="BF26" i="27"/>
  <c r="BR25" i="27"/>
  <c r="BO25" i="27"/>
  <c r="BN25" i="27"/>
  <c r="BK25" i="27"/>
  <c r="BJ25" i="27"/>
  <c r="BI25" i="27"/>
  <c r="BH25" i="27"/>
  <c r="BG25" i="27"/>
  <c r="BF25" i="27"/>
  <c r="BR24" i="27"/>
  <c r="BO24" i="27"/>
  <c r="BN24" i="27"/>
  <c r="BK24" i="27"/>
  <c r="BJ24" i="27"/>
  <c r="BI24" i="27"/>
  <c r="BH24" i="27"/>
  <c r="BG24" i="27"/>
  <c r="BF24" i="27"/>
  <c r="BR23" i="27"/>
  <c r="BO23" i="27"/>
  <c r="BN23" i="27"/>
  <c r="BK23" i="27"/>
  <c r="BJ23" i="27"/>
  <c r="BI23" i="27"/>
  <c r="BH23" i="27"/>
  <c r="BG23" i="27"/>
  <c r="BF23" i="27"/>
  <c r="BR22" i="27"/>
  <c r="BO22" i="27"/>
  <c r="BN22" i="27"/>
  <c r="BK22" i="27"/>
  <c r="BJ22" i="27"/>
  <c r="BI22" i="27"/>
  <c r="BH22" i="27"/>
  <c r="BG22" i="27"/>
  <c r="BF22" i="27"/>
  <c r="BK21" i="27"/>
  <c r="BJ21" i="27"/>
  <c r="BI21" i="27"/>
  <c r="BH21" i="27"/>
  <c r="BG21" i="27"/>
  <c r="BF21" i="27"/>
  <c r="BR20" i="27"/>
  <c r="BO20" i="27"/>
  <c r="BN20" i="27"/>
  <c r="BK20" i="27"/>
  <c r="BJ20" i="27"/>
  <c r="BH20" i="27"/>
  <c r="BG20" i="27"/>
  <c r="BF20" i="27"/>
  <c r="BR19" i="27"/>
  <c r="BO19" i="27"/>
  <c r="BN19" i="27"/>
  <c r="BI19" i="27"/>
  <c r="BH19" i="27"/>
  <c r="BG19" i="27"/>
  <c r="BF19" i="27"/>
  <c r="BR18" i="27"/>
  <c r="BO18" i="27"/>
  <c r="BN18" i="27"/>
  <c r="BK18" i="27"/>
  <c r="BJ18" i="27"/>
  <c r="BI18" i="27"/>
  <c r="BH18" i="27"/>
  <c r="BR17" i="27"/>
  <c r="BO17" i="27"/>
  <c r="BN17" i="27"/>
  <c r="BK17" i="27"/>
  <c r="BJ17" i="27"/>
  <c r="BI17" i="27"/>
  <c r="BH17" i="27"/>
  <c r="BG17" i="27"/>
  <c r="BF17" i="27"/>
  <c r="BR16" i="27"/>
  <c r="BO16" i="27"/>
  <c r="BN16" i="27"/>
  <c r="BK16" i="27"/>
  <c r="BJ16" i="27"/>
  <c r="BI16" i="27"/>
  <c r="BH16" i="27"/>
  <c r="BR15" i="27"/>
  <c r="BO15" i="27"/>
  <c r="BN15" i="27"/>
  <c r="BK15" i="27"/>
  <c r="BJ15" i="27"/>
  <c r="BG15" i="27"/>
  <c r="BF15" i="27"/>
  <c r="BR14" i="27"/>
  <c r="BO14" i="27"/>
  <c r="BN14" i="27"/>
  <c r="BK14" i="27"/>
  <c r="BI14" i="27"/>
  <c r="BH14" i="27"/>
  <c r="BG14" i="27"/>
  <c r="BF14" i="27"/>
  <c r="BR13" i="27"/>
  <c r="BO13" i="27"/>
  <c r="BN13" i="27"/>
  <c r="BI13" i="27"/>
  <c r="BH13" i="27"/>
  <c r="BG13" i="27"/>
  <c r="BI20" i="27" l="1"/>
  <c r="BJ14" i="27"/>
  <c r="BH15" i="27"/>
  <c r="K28" i="1" l="1"/>
  <c r="E28" i="1" s="1"/>
  <c r="K20" i="1"/>
  <c r="E20" i="1" s="1"/>
  <c r="K18" i="1"/>
  <c r="E18" i="1" s="1"/>
  <c r="J17" i="1"/>
  <c r="J22" i="1"/>
  <c r="J29" i="1"/>
  <c r="J33" i="1"/>
  <c r="J26" i="1" l="1"/>
  <c r="BI15" i="27"/>
  <c r="L15" i="1" l="1"/>
  <c r="L13" i="1" s="1"/>
  <c r="F13" i="1" s="1"/>
  <c r="D41" i="26" l="1"/>
  <c r="C55" i="26"/>
  <c r="C44" i="26"/>
  <c r="BL18" i="27"/>
  <c r="C48" i="26"/>
  <c r="BL21" i="27"/>
  <c r="C52" i="26"/>
  <c r="BL32" i="27"/>
  <c r="P10" i="26"/>
  <c r="N10" i="26"/>
  <c r="O10" i="26"/>
  <c r="Q10" i="26"/>
  <c r="R10" i="26"/>
  <c r="S10" i="26"/>
  <c r="T10" i="26"/>
  <c r="N11" i="26"/>
  <c r="O11" i="26"/>
  <c r="P11" i="26"/>
  <c r="R11" i="26"/>
  <c r="S11" i="26"/>
  <c r="T11" i="26"/>
  <c r="N12" i="26"/>
  <c r="O12" i="26"/>
  <c r="P12" i="26"/>
  <c r="Q12" i="26"/>
  <c r="R12" i="26"/>
  <c r="S12" i="26"/>
  <c r="T12" i="26"/>
  <c r="T9" i="26" l="1"/>
  <c r="S9" i="26"/>
  <c r="R9" i="26"/>
  <c r="Q9" i="26"/>
  <c r="O9" i="26"/>
  <c r="N9" i="26"/>
  <c r="P9" i="26"/>
  <c r="L12" i="26"/>
  <c r="L10" i="26"/>
  <c r="L11" i="26"/>
  <c r="BL24" i="27"/>
  <c r="BL16" i="27"/>
  <c r="BL29" i="27"/>
  <c r="BL30" i="27"/>
  <c r="BL34" i="27"/>
  <c r="BL33" i="27"/>
  <c r="BL28" i="27"/>
  <c r="BL26" i="27"/>
  <c r="BL15" i="27"/>
  <c r="BL25" i="27"/>
  <c r="BL22" i="27"/>
  <c r="BL14" i="27"/>
  <c r="BL31" i="27"/>
  <c r="BL13" i="27"/>
  <c r="BQ27" i="27"/>
  <c r="BL20" i="27"/>
  <c r="BL17" i="27"/>
  <c r="BL19" i="27"/>
  <c r="BL23" i="27"/>
  <c r="BQ19" i="27"/>
  <c r="BM19" i="27"/>
  <c r="BK32" i="27"/>
  <c r="BK13" i="27"/>
  <c r="C47" i="26"/>
  <c r="E11" i="24"/>
  <c r="G12" i="24" l="1"/>
  <c r="H12" i="24"/>
  <c r="I12" i="24"/>
  <c r="I16" i="24" s="1"/>
  <c r="J12" i="24"/>
  <c r="J16" i="24" s="1"/>
  <c r="K12" i="24"/>
  <c r="K16" i="24" s="1"/>
  <c r="L12" i="24"/>
  <c r="L16" i="24" s="1"/>
  <c r="M12" i="24"/>
  <c r="M16" i="24" s="1"/>
  <c r="F12" i="24"/>
  <c r="D12" i="24" s="1"/>
  <c r="L9" i="26"/>
  <c r="D69" i="26" s="1"/>
  <c r="E69" i="26" s="1"/>
  <c r="AH13" i="27"/>
  <c r="G16" i="24"/>
  <c r="H16" i="24"/>
  <c r="BM27" i="27"/>
  <c r="BL27" i="27"/>
  <c r="BJ32" i="27"/>
  <c r="BJ13" i="27"/>
  <c r="C64" i="26"/>
  <c r="C61" i="26"/>
  <c r="C50" i="26"/>
  <c r="C58" i="26"/>
  <c r="C46" i="26"/>
  <c r="C56" i="26"/>
  <c r="C59" i="26"/>
  <c r="C63" i="26"/>
  <c r="C49" i="26"/>
  <c r="C43" i="26"/>
  <c r="C51" i="26"/>
  <c r="C54" i="26"/>
  <c r="C65" i="26"/>
  <c r="C57" i="26"/>
  <c r="C60" i="26"/>
  <c r="C45" i="26"/>
  <c r="C53" i="26"/>
  <c r="C42" i="26"/>
  <c r="A4" i="3"/>
  <c r="A4" i="5" s="1"/>
  <c r="A3" i="28" s="1"/>
  <c r="F16" i="24" l="1"/>
  <c r="I15" i="24"/>
  <c r="I20" i="24"/>
  <c r="I19" i="24" s="1"/>
  <c r="G15" i="24"/>
  <c r="G20" i="24"/>
  <c r="G19" i="24" s="1"/>
  <c r="F15" i="24"/>
  <c r="F20" i="24"/>
  <c r="D16" i="24"/>
  <c r="D15" i="24" s="1"/>
  <c r="M15" i="24"/>
  <c r="M20" i="24"/>
  <c r="M19" i="24" s="1"/>
  <c r="H15" i="24"/>
  <c r="H20" i="24"/>
  <c r="H19" i="24" s="1"/>
  <c r="L15" i="24"/>
  <c r="L20" i="24"/>
  <c r="L19" i="24" s="1"/>
  <c r="K15" i="24"/>
  <c r="K20" i="24"/>
  <c r="K19" i="24" s="1"/>
  <c r="J15" i="24"/>
  <c r="J20" i="24"/>
  <c r="J19" i="24" s="1"/>
  <c r="AH12" i="27"/>
  <c r="AG13" i="27"/>
  <c r="D13" i="27"/>
  <c r="BF13" i="27"/>
  <c r="M69" i="26"/>
  <c r="D109" i="26" s="1"/>
  <c r="E109" i="26" s="1"/>
  <c r="F69" i="26"/>
  <c r="D102" i="26" s="1"/>
  <c r="E102" i="26" s="1"/>
  <c r="G69" i="26"/>
  <c r="D103" i="26" s="1"/>
  <c r="E103" i="26" s="1"/>
  <c r="H69" i="26"/>
  <c r="D104" i="26" s="1"/>
  <c r="E104" i="26" s="1"/>
  <c r="I69" i="26"/>
  <c r="D105" i="26" s="1"/>
  <c r="E105" i="26" s="1"/>
  <c r="J69" i="26"/>
  <c r="D106" i="26" s="1"/>
  <c r="E106" i="26" s="1"/>
  <c r="K69" i="26"/>
  <c r="D107" i="26" s="1"/>
  <c r="E107" i="26" s="1"/>
  <c r="L69" i="26"/>
  <c r="D108" i="26" s="1"/>
  <c r="E108" i="26" s="1"/>
  <c r="A3" i="6"/>
  <c r="A3" i="7" s="1"/>
  <c r="BF18" i="27"/>
  <c r="BG18" i="27"/>
  <c r="BM24" i="27"/>
  <c r="BQ24" i="27"/>
  <c r="C41" i="26"/>
  <c r="BQ20" i="27"/>
  <c r="BM20" i="27"/>
  <c r="BM16" i="27"/>
  <c r="BQ16" i="27"/>
  <c r="BM13" i="27"/>
  <c r="BQ13" i="27"/>
  <c r="I11" i="24"/>
  <c r="AH42" i="27" s="1"/>
  <c r="H11" i="24"/>
  <c r="AH41" i="27" s="1"/>
  <c r="D13" i="6"/>
  <c r="E13" i="24"/>
  <c r="D17" i="6"/>
  <c r="D16" i="6"/>
  <c r="D15" i="6"/>
  <c r="D14" i="6"/>
  <c r="BE46" i="27" l="1"/>
  <c r="BD46" i="27"/>
  <c r="C109" i="26"/>
  <c r="BE39" i="27"/>
  <c r="BD39" i="27"/>
  <c r="BE45" i="27"/>
  <c r="BD45" i="27"/>
  <c r="BE43" i="27"/>
  <c r="BD43" i="27"/>
  <c r="BE40" i="27"/>
  <c r="BD40" i="27"/>
  <c r="BE41" i="27"/>
  <c r="BD41" i="27"/>
  <c r="BE42" i="27"/>
  <c r="BD42" i="27"/>
  <c r="BE44" i="27"/>
  <c r="BD44" i="27"/>
  <c r="AG41" i="27"/>
  <c r="W41" i="27" s="1"/>
  <c r="F19" i="24"/>
  <c r="D20" i="24"/>
  <c r="D19" i="24" s="1"/>
  <c r="AG42" i="27"/>
  <c r="W42" i="27" s="1"/>
  <c r="C13" i="27"/>
  <c r="C12" i="27" s="1"/>
  <c r="D12" i="27"/>
  <c r="AG12" i="27"/>
  <c r="W13" i="27"/>
  <c r="W12" i="27" s="1"/>
  <c r="A3" i="8"/>
  <c r="A3" i="24" s="1"/>
  <c r="A3" i="29"/>
  <c r="D101" i="26"/>
  <c r="D75" i="26" s="1"/>
  <c r="K15" i="1"/>
  <c r="J16" i="1"/>
  <c r="J15" i="1" s="1"/>
  <c r="J13" i="1" s="1"/>
  <c r="BM25" i="27"/>
  <c r="BQ25" i="27"/>
  <c r="BQ34" i="27"/>
  <c r="BM34" i="27"/>
  <c r="BM21" i="27"/>
  <c r="BQ21" i="27"/>
  <c r="BQ15" i="27"/>
  <c r="BM15" i="27"/>
  <c r="BQ35" i="27"/>
  <c r="BM23" i="27"/>
  <c r="BQ23" i="27"/>
  <c r="BQ26" i="27"/>
  <c r="BM26" i="27"/>
  <c r="BQ36" i="27"/>
  <c r="BQ14" i="27"/>
  <c r="BM14" i="27"/>
  <c r="BQ32" i="27"/>
  <c r="BM32" i="27"/>
  <c r="BQ22" i="27"/>
  <c r="BM22" i="27"/>
  <c r="BM33" i="27"/>
  <c r="BQ33" i="27"/>
  <c r="BM17" i="27"/>
  <c r="BQ17" i="27"/>
  <c r="BQ30" i="27"/>
  <c r="BM30" i="27"/>
  <c r="BQ18" i="27"/>
  <c r="BM18" i="27"/>
  <c r="BQ28" i="27"/>
  <c r="BM28" i="27"/>
  <c r="BM31" i="27"/>
  <c r="BQ31" i="27"/>
  <c r="BM29" i="27"/>
  <c r="BQ29" i="27"/>
  <c r="K11" i="24"/>
  <c r="AH44" i="27" s="1"/>
  <c r="G11" i="24"/>
  <c r="AH40" i="27" s="1"/>
  <c r="J11" i="24"/>
  <c r="AH43" i="27" s="1"/>
  <c r="M11" i="24"/>
  <c r="AH46" i="27" s="1"/>
  <c r="L11" i="24"/>
  <c r="AH45" i="27" s="1"/>
  <c r="F11" i="24"/>
  <c r="AH39" i="27" s="1"/>
  <c r="H13" i="24"/>
  <c r="I13" i="24"/>
  <c r="J13" i="24"/>
  <c r="K13" i="24"/>
  <c r="L13" i="24"/>
  <c r="G13" i="24"/>
  <c r="M13" i="24"/>
  <c r="BC46" i="27" l="1"/>
  <c r="AV46" i="27" s="1"/>
  <c r="BC42" i="27"/>
  <c r="AV42" i="27" s="1"/>
  <c r="C106" i="26"/>
  <c r="BC43" i="27"/>
  <c r="AV43" i="27" s="1"/>
  <c r="BC45" i="27"/>
  <c r="AV45" i="27" s="1"/>
  <c r="C107" i="26"/>
  <c r="C103" i="26"/>
  <c r="C102" i="26"/>
  <c r="BC44" i="27"/>
  <c r="AV44" i="27" s="1"/>
  <c r="BC40" i="27"/>
  <c r="AV40" i="27" s="1"/>
  <c r="C105" i="26"/>
  <c r="F23" i="14"/>
  <c r="K34" i="1"/>
  <c r="H34" i="1" s="1"/>
  <c r="BC39" i="27"/>
  <c r="BD38" i="27"/>
  <c r="BD11" i="27" s="1"/>
  <c r="BE38" i="27"/>
  <c r="BE11" i="27" s="1"/>
  <c r="C104" i="26"/>
  <c r="BC41" i="27"/>
  <c r="AV41" i="27" s="1"/>
  <c r="C108" i="26"/>
  <c r="AH38" i="27"/>
  <c r="AH11" i="27" s="1"/>
  <c r="AG39" i="27"/>
  <c r="AG43" i="27"/>
  <c r="W43" i="27" s="1"/>
  <c r="AG45" i="27"/>
  <c r="W45" i="27" s="1"/>
  <c r="AG40" i="27"/>
  <c r="W40" i="27" s="1"/>
  <c r="AG46" i="27"/>
  <c r="W46" i="27" s="1"/>
  <c r="AG44" i="27"/>
  <c r="W44" i="27" s="1"/>
  <c r="K13" i="1"/>
  <c r="E13" i="1" s="1"/>
  <c r="D13" i="1" s="1"/>
  <c r="H15" i="1"/>
  <c r="A3" i="9"/>
  <c r="A3" i="10" s="1"/>
  <c r="A3" i="11" s="1"/>
  <c r="A3" i="12" s="1"/>
  <c r="A3" i="13" s="1"/>
  <c r="A3" i="14" s="1"/>
  <c r="A3" i="30" s="1"/>
  <c r="E101" i="26"/>
  <c r="BJ19" i="27"/>
  <c r="F13" i="24"/>
  <c r="D14" i="24"/>
  <c r="D13" i="24" s="1"/>
  <c r="L24" i="1" s="1"/>
  <c r="J24" i="1" s="1"/>
  <c r="L22" i="3"/>
  <c r="K22" i="3"/>
  <c r="J22" i="3"/>
  <c r="I22" i="3"/>
  <c r="H22" i="3"/>
  <c r="G22" i="3"/>
  <c r="F22" i="3"/>
  <c r="K31" i="1" l="1"/>
  <c r="E31" i="1" s="1"/>
  <c r="BC38" i="27"/>
  <c r="BC11" i="27" s="1"/>
  <c r="AV39" i="27"/>
  <c r="AV38" i="27" s="1"/>
  <c r="AV11" i="27" s="1"/>
  <c r="I34" i="1"/>
  <c r="I31" i="1" s="1"/>
  <c r="H31" i="1"/>
  <c r="AG38" i="27"/>
  <c r="AG11" i="27" s="1"/>
  <c r="W39" i="27"/>
  <c r="W38" i="27" s="1"/>
  <c r="W11" i="27" s="1"/>
  <c r="I15" i="1"/>
  <c r="I13" i="1" s="1"/>
  <c r="H13" i="1"/>
  <c r="E75" i="26"/>
  <c r="F22" i="14" s="1"/>
  <c r="C101" i="26"/>
  <c r="C75" i="26" s="1"/>
  <c r="J32" i="1"/>
  <c r="BK19" i="27"/>
  <c r="J25" i="1"/>
  <c r="D38" i="10"/>
  <c r="D37" i="10" s="1"/>
  <c r="BF16" i="27"/>
  <c r="BQ37" i="27"/>
  <c r="BM37" i="27"/>
  <c r="A3" i="26"/>
  <c r="J23" i="1"/>
  <c r="D23" i="3"/>
  <c r="E22" i="3"/>
  <c r="L34" i="1" l="1"/>
  <c r="BL37" i="27"/>
  <c r="BQ12" i="27"/>
  <c r="BG16" i="27"/>
  <c r="D9" i="8"/>
  <c r="J8" i="8"/>
  <c r="F8" i="8"/>
  <c r="M8" i="8"/>
  <c r="L8" i="8"/>
  <c r="K8" i="8"/>
  <c r="I8" i="8"/>
  <c r="H8" i="8"/>
  <c r="G8" i="8"/>
  <c r="D6" i="8"/>
  <c r="D8" i="8" l="1"/>
  <c r="J34" i="1"/>
  <c r="J31" i="1" s="1"/>
  <c r="L31" i="1"/>
  <c r="F31" i="1" s="1"/>
  <c r="D31" i="1" s="1"/>
  <c r="D18" i="6"/>
  <c r="D12" i="6" s="1"/>
  <c r="J11" i="1"/>
  <c r="J12" i="1"/>
  <c r="K10" i="1"/>
  <c r="E10" i="1" s="1"/>
  <c r="L20" i="1"/>
  <c r="F20" i="1" s="1"/>
  <c r="D20" i="1" s="1"/>
  <c r="J21" i="1"/>
  <c r="J20" i="1" s="1"/>
  <c r="E9" i="1" l="1"/>
  <c r="I20" i="6"/>
  <c r="F20" i="6"/>
  <c r="K20" i="6"/>
  <c r="L20" i="6"/>
  <c r="G20" i="6"/>
  <c r="H20" i="6"/>
  <c r="J20" i="6"/>
  <c r="E20" i="6"/>
  <c r="K9" i="1"/>
  <c r="H10" i="1"/>
  <c r="H9" i="1" s="1"/>
  <c r="J10" i="1"/>
  <c r="L10" i="1"/>
  <c r="F10" i="1" s="1"/>
  <c r="H22" i="6" l="1"/>
  <c r="H24" i="6" s="1"/>
  <c r="H19" i="6"/>
  <c r="U42" i="27" s="1"/>
  <c r="D42" i="27" s="1"/>
  <c r="G22" i="6"/>
  <c r="G21" i="6" s="1"/>
  <c r="V41" i="27" s="1"/>
  <c r="E41" i="27" s="1"/>
  <c r="G19" i="6"/>
  <c r="U41" i="27" s="1"/>
  <c r="D41" i="27" s="1"/>
  <c r="K22" i="6"/>
  <c r="K24" i="6" s="1"/>
  <c r="K19" i="6"/>
  <c r="U45" i="27" s="1"/>
  <c r="D45" i="27" s="1"/>
  <c r="F22" i="6"/>
  <c r="F21" i="6" s="1"/>
  <c r="V40" i="27" s="1"/>
  <c r="E40" i="27" s="1"/>
  <c r="F19" i="6"/>
  <c r="U40" i="27" s="1"/>
  <c r="D40" i="27" s="1"/>
  <c r="I22" i="6"/>
  <c r="I21" i="6" s="1"/>
  <c r="V43" i="27" s="1"/>
  <c r="E43" i="27" s="1"/>
  <c r="I19" i="6"/>
  <c r="U43" i="27" s="1"/>
  <c r="D43" i="27" s="1"/>
  <c r="E22" i="6"/>
  <c r="E24" i="6" s="1"/>
  <c r="D20" i="6"/>
  <c r="E19" i="6"/>
  <c r="U39" i="27" s="1"/>
  <c r="N9" i="1"/>
  <c r="L22" i="6"/>
  <c r="L21" i="6" s="1"/>
  <c r="V46" i="27" s="1"/>
  <c r="E46" i="27" s="1"/>
  <c r="L19" i="6"/>
  <c r="U46" i="27" s="1"/>
  <c r="D46" i="27" s="1"/>
  <c r="J22" i="6"/>
  <c r="J24" i="6" s="1"/>
  <c r="J19" i="6"/>
  <c r="U44" i="27" s="1"/>
  <c r="D44" i="27" s="1"/>
  <c r="D10" i="1"/>
  <c r="I10" i="1"/>
  <c r="I9" i="1" s="1"/>
  <c r="K21" i="6"/>
  <c r="V45" i="27" s="1"/>
  <c r="E45" i="27" s="1"/>
  <c r="H21" i="6" l="1"/>
  <c r="V42" i="27" s="1"/>
  <c r="E42" i="27" s="1"/>
  <c r="I24" i="6"/>
  <c r="J21" i="6"/>
  <c r="V44" i="27" s="1"/>
  <c r="E44" i="27" s="1"/>
  <c r="J23" i="6"/>
  <c r="J28" i="6"/>
  <c r="J27" i="6" s="1"/>
  <c r="E23" i="6"/>
  <c r="E28" i="6"/>
  <c r="L24" i="6"/>
  <c r="G24" i="6"/>
  <c r="U38" i="27"/>
  <c r="U11" i="27" s="1"/>
  <c r="D39" i="27"/>
  <c r="D38" i="27" s="1"/>
  <c r="D11" i="27" s="1"/>
  <c r="F24" i="6"/>
  <c r="K28" i="6"/>
  <c r="K27" i="6" s="1"/>
  <c r="K23" i="6"/>
  <c r="I23" i="6"/>
  <c r="I28" i="6"/>
  <c r="I27" i="6" s="1"/>
  <c r="H28" i="6"/>
  <c r="H27" i="6" s="1"/>
  <c r="H23" i="6"/>
  <c r="T40" i="27"/>
  <c r="C40" i="27"/>
  <c r="T44" i="27"/>
  <c r="C44" i="27"/>
  <c r="T45" i="27"/>
  <c r="C45" i="27"/>
  <c r="T46" i="27"/>
  <c r="C46" i="27"/>
  <c r="T43" i="27"/>
  <c r="C43" i="27"/>
  <c r="T41" i="27"/>
  <c r="C41" i="27"/>
  <c r="T42" i="27"/>
  <c r="C42" i="27"/>
  <c r="BQ40" i="27"/>
  <c r="BQ41" i="27"/>
  <c r="BQ44" i="27"/>
  <c r="BQ45" i="27"/>
  <c r="BQ46" i="27"/>
  <c r="BQ43" i="27"/>
  <c r="BQ42" i="27"/>
  <c r="E21" i="6"/>
  <c r="V39" i="27" s="1"/>
  <c r="E39" i="27" s="1"/>
  <c r="E38" i="27" s="1"/>
  <c r="D22" i="6"/>
  <c r="D21" i="6" s="1"/>
  <c r="L19" i="1" s="1"/>
  <c r="G28" i="6" l="1"/>
  <c r="G27" i="6" s="1"/>
  <c r="G23" i="6"/>
  <c r="E27" i="6"/>
  <c r="L28" i="6"/>
  <c r="L27" i="6" s="1"/>
  <c r="L23" i="6"/>
  <c r="D24" i="6"/>
  <c r="D23" i="6" s="1"/>
  <c r="F28" i="6"/>
  <c r="F27" i="6" s="1"/>
  <c r="F23" i="6"/>
  <c r="T39" i="27"/>
  <c r="T38" i="27" s="1"/>
  <c r="T11" i="27" s="1"/>
  <c r="V38" i="27"/>
  <c r="V11" i="27" s="1"/>
  <c r="BQ39" i="27"/>
  <c r="D28" i="6" l="1"/>
  <c r="D27" i="6" s="1"/>
  <c r="C39" i="27"/>
  <c r="C38" i="27" s="1"/>
  <c r="C11" i="27" s="1"/>
  <c r="E11" i="27"/>
  <c r="L18" i="1"/>
  <c r="F18" i="1" s="1"/>
  <c r="J19" i="1"/>
  <c r="J18" i="1" s="1"/>
  <c r="BQ11" i="27"/>
  <c r="BQ38" i="27"/>
  <c r="D18" i="1" l="1"/>
  <c r="J30" i="1"/>
  <c r="J28" i="1" s="1"/>
  <c r="L28" i="1"/>
  <c r="F28" i="1" s="1"/>
  <c r="D28" i="1" s="1"/>
  <c r="BR12" i="27"/>
  <c r="BR21" i="27"/>
  <c r="BO21" i="27"/>
  <c r="BN21" i="27"/>
  <c r="BR43" i="27"/>
  <c r="BR46" i="27"/>
  <c r="BR45" i="27"/>
  <c r="D9" i="1" l="1"/>
  <c r="F9" i="1"/>
  <c r="BR41" i="27"/>
  <c r="BR44" i="27"/>
  <c r="BR42" i="27"/>
  <c r="BR40" i="27"/>
  <c r="BR39" i="27" l="1"/>
  <c r="J27" i="1" l="1"/>
  <c r="J9" i="1" s="1"/>
  <c r="M9" i="1" s="1"/>
  <c r="L9" i="1"/>
  <c r="O9" i="1" s="1"/>
  <c r="BR11" i="27"/>
  <c r="BR38" i="27"/>
</calcChain>
</file>

<file path=xl/sharedStrings.xml><?xml version="1.0" encoding="utf-8"?>
<sst xmlns="http://schemas.openxmlformats.org/spreadsheetml/2006/main" count="1520" uniqueCount="626">
  <si>
    <t>Đơn vị tính: Triệu đồng</t>
  </si>
  <si>
    <t>STT</t>
  </si>
  <si>
    <t>Dự án/ Tiểu dự án</t>
  </si>
  <si>
    <t>Ghi chú</t>
  </si>
  <si>
    <t>A</t>
  </si>
  <si>
    <t>B</t>
  </si>
  <si>
    <t>TỔNG SỐ</t>
  </si>
  <si>
    <t>Dự án 1: Giải quyết tình trạng thiếu đất ở, nhà ở, đất sản xuất, nước sinh hoạt</t>
  </si>
  <si>
    <t>-</t>
  </si>
  <si>
    <t>Nội dung số 03: Hỗ trợ chuyển đổi nghề</t>
  </si>
  <si>
    <t xml:space="preserve"> -</t>
  </si>
  <si>
    <t>Nội dung số 04: Hỗ trợ nước sinh hoạt phân tán</t>
  </si>
  <si>
    <t>Dự án 3: Phát triển sản xuất nông, lâm nghiệp bền vững, phát huy tiềm năng, thế mạnh của các vùng miền để sản xuất hàng hóa theo chuỗi giá trị</t>
  </si>
  <si>
    <t>Tiểu dự án 1: Phát triển kinh tế nông, lâm nghiệp bền vững gắn với bảo vệ rừng và nâng cao thu nhập cho người dân</t>
  </si>
  <si>
    <t>Tiểu dự án 2: Hỗ trợ phát triển sản xuất theo chuỗi giá trị, vùng trồng dược liệu quý, thúc đẩy khởi sự kinh doanh, khởi nghiệp và thu hút đầu tư vùng đồng bào dân tộc thiểu số và miền núi</t>
  </si>
  <si>
    <t xml:space="preserve"> Hỗ trợ phát triển trồng vùng dược liệu quý</t>
  </si>
  <si>
    <t>Dự án 4: Đầu tư cơ sở hạ tầng thiết yếu, phục vụ sản xuất, đời sống trong vùng đồng bào dân tộc thiểu số và miền núi và các đơn vị sự nghiệp công lập của lĩnh vực dân tộc</t>
  </si>
  <si>
    <t>Tiểu dự án 1: Đầu tư cơ sở hạ tầng thiết yếu, phục vụ sản xuất, đời sống trong vùng đồng bào dân tộc thiểu số và miền núi</t>
  </si>
  <si>
    <t>Dự án 5: Phát triển giáo dục đào tạo nâng cao chất lượng nguồn nhân lực</t>
  </si>
  <si>
    <t>Tiểu dự án 1: Đổi mới hoạt động, củng cố phát triển các trường phổ thông dân tộc nội trú, trường phổ thông dân tộc bán trú, trường phổ thông có học sinh ở bán trú và xóa mù chữ cho người dân vùng đồng bào dân tộc thiểu số</t>
  </si>
  <si>
    <t>Tiểu dự án 2: Bồi dưỡng kiến thức dân tộc; đào tạo dự bị đại học, đại học và sau đại học đáp ứng nhu cầu nhân lực cho vùng đồng bào dân tộc thiểu số và miền núi</t>
  </si>
  <si>
    <t>Tiểu dự án 4: Đào tạo nâng cao năng lực cho cộng đồng và cán bộ triển khai Chương trình ở các cấp</t>
  </si>
  <si>
    <t>Dự án 6: Bảo tồn, phát huy giá trị văn hóa truyền thống tốt đẹp của các dân tộc thiểu số gắn với phát triển du lịch</t>
  </si>
  <si>
    <t>Dự án 7: Chăm sóc sức khỏe Nhân dân, nâng cao thể trạng, tầm vóc người dân tộc thiểu số; phòng chống suy dinh dưỡng trẻ em</t>
  </si>
  <si>
    <t>Dự án 8: Thực hiện bình đẳng giới và giải quyết những vấn đề cấp thiết đối với phụ nữ và trẻ em</t>
  </si>
  <si>
    <t>Dự án 9: Đầu tư phát triển nhóm dân tộc thiểu số rất ít người và nhóm dân tộc còn nhiều khó khăn</t>
  </si>
  <si>
    <t>Tiểu dự án 1: Đầu tư phát triển kinh tế - xã hội các dân tộc còn gặp nhiều khó khăn, dân tộc có khó khăn đặc thù</t>
  </si>
  <si>
    <t>Tiểu dự án 2: Giảm thiểu tình trạng tảo hôn và hôn nhân cận huyết thống trong vùng đồng bào dân tộc thiểu số và miền núi</t>
  </si>
  <si>
    <t>Dự án 10: Truyền thông, tuyên truyền, vận động trong vùng đồng bào dân tộc thiểu số và miền núi. Kiểm tra, giám sát đánh giá việc tổ chức thực hiện Chương trình</t>
  </si>
  <si>
    <t>Tiểu dự án 1: Biểu dương, tôn vinh điển hình tiên tiến, phát huy vai trò của người có uy tín; phổ biến, giáo dục pháp luật, trợ giúp pháp lý và tuyên truyền, vận động đồng bào; truyền thông phục vụ tổ chức triển khai thực hiện Đề án tổng thể và Chương trình mục tiêu quốc gia phát triển kinh tế - xã hội vùng đồng bào dân tộc thiểu số và miền núi giai đoạn 2021-2030</t>
  </si>
  <si>
    <t>Tiểu dự án 3: Kiểm tra, giám sát, đánh giá, đào tạo, tập huấn tổ chức thực hiện Chương trình</t>
  </si>
  <si>
    <t>II</t>
  </si>
  <si>
    <t>+</t>
  </si>
  <si>
    <t>Tổng số</t>
  </si>
  <si>
    <t>TỔNG</t>
  </si>
  <si>
    <t>Nội dung</t>
  </si>
  <si>
    <t>Đơn vị</t>
  </si>
  <si>
    <t>Tổng</t>
  </si>
  <si>
    <t>Huyện Chợ Mới</t>
  </si>
  <si>
    <t>Huyện Chợ Đồn</t>
  </si>
  <si>
    <t>Huyện Ngân Sơn</t>
  </si>
  <si>
    <t>Huyện Bạch Thông</t>
  </si>
  <si>
    <t>Huyện Na Rì</t>
  </si>
  <si>
    <t>Huyện Pác Nặm</t>
  </si>
  <si>
    <t>Huyện Ba Bể</t>
  </si>
  <si>
    <t>Thành phố Bắc Kạn</t>
  </si>
  <si>
    <t>I</t>
  </si>
  <si>
    <t>Tiêu chí</t>
  </si>
  <si>
    <t>Nhu cầu số hộ được hỗ trợ chuyển đổi nghề</t>
  </si>
  <si>
    <t>Hộ</t>
  </si>
  <si>
    <t xml:space="preserve">Nhu cầu số hộ được hỗ trợ nước sinh hoạt phân tán </t>
  </si>
  <si>
    <t xml:space="preserve"> Số điểm</t>
  </si>
  <si>
    <t>Điểm số hộ được hỗ trợ chuyển đổi nghề</t>
  </si>
  <si>
    <t xml:space="preserve">Điểm số hộ được hỗ trợ nước sinh hoạt phân tán </t>
  </si>
  <si>
    <t>III</t>
  </si>
  <si>
    <t>Triệu đồng</t>
  </si>
  <si>
    <t>IV</t>
  </si>
  <si>
    <t>V</t>
  </si>
  <si>
    <t>DỰ ÁN 1: Giải quyết tình trạng thiếu đất ở, nhà ở, đất sản xuất, nước sinh hoạt</t>
  </si>
  <si>
    <t>NỘI DUNG: Hỗ trợ chuyển đổi nghề, hỗ trợ nước sinh hoạt phân tán</t>
  </si>
  <si>
    <t>TIỂU DỰ ÁN 1: Phát triển kinh tế nông, lâm nghiệp bền vững gắn với bảo vệ rừng và nâng cao thu nhập cho người dân</t>
  </si>
  <si>
    <t>DỰ ÁN 3: Phát triển sản xuất nông, lâm nghiệp bền vững, phát huy tiềm năng, thế mạnh của các vùng miền để sản xuất hàng hóa theo chuỗi giá trị</t>
  </si>
  <si>
    <t>Mỗi ha được hỗ trợ bảo vệ rừng quy hoạch rừng phòng hộ và rừng sản xuất là rừng tự nhiên đã giao cho cộng đồng, hộ gia đình</t>
  </si>
  <si>
    <t>Mỗi ha rừng được hỗ trợ khoanh nuôi tái sinh có trồng rừng bổ sung</t>
  </si>
  <si>
    <t>Mỗi ha rừng được hỗ trợ trồng rừng sản xuất, khai thác kinh tế dưới tán rừng và phát triển lâm sản ngoài gỗ</t>
  </si>
  <si>
    <t>Mỗi ha rừng được hỗ trợ trồng rừng phòng hộ</t>
  </si>
  <si>
    <t xml:space="preserve">Mỗi tấn gạo trợ cấp trồng rừng cho hộ nghèo tham gia trồng rừng sản xuất, phát triển lâm sản ngoài gỗ, rừng phòng hộ </t>
  </si>
  <si>
    <t>TỔNG CỘNG</t>
  </si>
  <si>
    <t>TIỂU DỰ ÁN 2: Hỗ trợ phát triển sản xuất theo chuỗi giá trị, vùng trồng dược liệu quý, thúc đẩy khởi sự kinh doanh, khởi nghiệp và thu hút đầu tư vùng đồng bào dân tộc thiểu số và miền núi</t>
  </si>
  <si>
    <t>Mỗi xã ĐBKK (xã khu vực III)</t>
  </si>
  <si>
    <t>Xã</t>
  </si>
  <si>
    <r>
      <t xml:space="preserve">Xã ATK thuộc khu vực II, I </t>
    </r>
    <r>
      <rPr>
        <i/>
        <sz val="14"/>
        <color indexed="8"/>
        <rFont val="Times New Roman"/>
        <family val="1"/>
      </rPr>
      <t>(xã chưa được cấp có thẩm quyền công nhận đạt chuẩn NTM, hoàn thành mục tiêu Chương trình 135)</t>
    </r>
  </si>
  <si>
    <r>
      <t>Mỗi thôn ĐBKK không thuộc xã</t>
    </r>
    <r>
      <rPr>
        <b/>
        <sz val="14"/>
        <color indexed="8"/>
        <rFont val="Times New Roman"/>
        <family val="1"/>
      </rPr>
      <t xml:space="preserve"> </t>
    </r>
    <r>
      <rPr>
        <sz val="14"/>
        <color indexed="8"/>
        <rFont val="Times New Roman"/>
        <family val="1"/>
      </rPr>
      <t>khu vực III (Số</t>
    </r>
    <r>
      <rPr>
        <b/>
        <sz val="14"/>
        <color indexed="8"/>
        <rFont val="Times New Roman"/>
        <family val="1"/>
      </rPr>
      <t xml:space="preserve"> </t>
    </r>
    <r>
      <rPr>
        <i/>
        <sz val="14"/>
        <color indexed="8"/>
        <rFont val="Times New Roman"/>
        <family val="1"/>
      </rPr>
      <t>thôn ĐBKK được tính điểm phân bổ vốn không quá 04 thôn/xã ngoài khu vực III)</t>
    </r>
  </si>
  <si>
    <t>Thôn</t>
  </si>
  <si>
    <t>Hỗ trợ trang thiết bị cho mỗi trạm y tế cải tạo</t>
  </si>
  <si>
    <t>Trạm</t>
  </si>
  <si>
    <t>Xã ĐBKK đồng thời là xã ATK</t>
  </si>
  <si>
    <t>Tổng tỷ lệ hộ nghèo của xã ĐBKK</t>
  </si>
  <si>
    <t>%</t>
  </si>
  <si>
    <t>Số điểm</t>
  </si>
  <si>
    <t xml:space="preserve">Sở Giáo dục và Đào tạo </t>
  </si>
  <si>
    <t>Số người học xóa mù chữ</t>
  </si>
  <si>
    <t>Người</t>
  </si>
  <si>
    <t>Số lớp học xóa mù chữ</t>
  </si>
  <si>
    <t>Lớp</t>
  </si>
  <si>
    <t>Bộ</t>
  </si>
  <si>
    <t>Trường</t>
  </si>
  <si>
    <t>DỰ ÁN 5: Phát triển giáo dục đào tạo nâng cao chất lượng nguồn nhân lực
TIỂU DỰ ÁN 1: Đổi mới hoạt động, củng cố phát triển các trường phổ thông dân tộc nội trú (PTDTNT), trường phổ thông dân tộc bán trú (PTDTBT), trường Phổ thông có học sinh bán trú (trường phổ thông có HSBT) và xóa mù chữ cho người dân vùng đồng bào DTTS</t>
  </si>
  <si>
    <t>Mỗi đơn vị (trường) mua sắm trang thiết bị</t>
  </si>
  <si>
    <t>Sở Nội vụ</t>
  </si>
  <si>
    <t>Số xã vùng đồng bào dân tộc thiểu số</t>
  </si>
  <si>
    <t>DỰ ÁN 5: Phát triển giáo dục đào tạo nâng cao chất lượng nguồn nhân lực
TIỂU DỰ ÁN 2: Bồi dưỡng kiến thức dân tộc; đào tạo dự bị đại học, đại học và sau đại học đáp ứng nhu cầu nhân lực cho vùng đồng bào DTTS</t>
  </si>
  <si>
    <t>Sở Lao động, Thương binh và Xã hội</t>
  </si>
  <si>
    <t>Số học viên được đào tạo nghề</t>
  </si>
  <si>
    <t>Học viên</t>
  </si>
  <si>
    <t>DỰ ÁN 5: Phát triển giáo dục đào tạo nâng cao chất lượng nguồn nhân lực
TIỂU DỰ ÁN 3: Phát triển giáo dục nghề nghiệp và giải quyết việc làm cho người lao động vùng dân tộc thiểu số và miền núi</t>
  </si>
  <si>
    <t>Dự kiến kinh phí ngân sách trung ương năm 2023 hỗ trợ theo điểm</t>
  </si>
  <si>
    <t>Nội dung tiêu chí tính điểm cho địa phương</t>
  </si>
  <si>
    <t>Số nghệ nhân nhân dân, nghệ nhân ưu tú người dân tộc thiểu số trong việc lưu truyền, phổ biến hình thức sinh hoạt văn hóa truyền thống và đào tạo, bồi dưỡng những người kế cận</t>
  </si>
  <si>
    <t>Nghệ nhân</t>
  </si>
  <si>
    <t xml:space="preserve">Số hoạt động thi đấu thể thao truyền thống các dân tộc thiểu số </t>
  </si>
  <si>
    <t>Hoạt động</t>
  </si>
  <si>
    <t>Số nhà văn hoá tại các thôn vùng đồng bào dân tộc thiểu số cần hỗ trợ trang thiết bị</t>
  </si>
  <si>
    <t>Nhà</t>
  </si>
  <si>
    <t>Nội dung tiêu chí tính điểm cho tỉnh</t>
  </si>
  <si>
    <t>Số lớp tập huấn, truyền dạy, câu lạc bộ (mỗi lớp tập huấn; mỗi câu lạc bộ sinh hoạt văn hoá dân gian…)</t>
  </si>
  <si>
    <t>Số đội văn nghệ truyền thống</t>
  </si>
  <si>
    <t>Đội</t>
  </si>
  <si>
    <t>Tổ chức Ngày hội, Giao lưu, Liên hoan về các loại hình văn hóa, nghệ thuật truyền thống của đồng bào dân tộc thiểu số</t>
  </si>
  <si>
    <t>Cuộc</t>
  </si>
  <si>
    <t>Số xã vùng đồng bào dân tộc thiểu số và miền núi xây dựng tủ sách cộng đồng</t>
  </si>
  <si>
    <t>Tổ chức bảo tồn các loại hình văn hoá phi vật thể (mỗi lễ hội; mỗi mô hình văn hoá truyền thống; mỗi dự án nghiên cứu, phục dựng, bảo tồn; mỗi làng văn hóa truyền thống; mỗi chương trình tuyên truyền, quảng bá văn hoá truyền thống văn hoá các dân tộc thiểu số…)</t>
  </si>
  <si>
    <t>Tổ chức</t>
  </si>
  <si>
    <t>Xây dựng nội dung, xuất bản mỗi ấn phẩm xuất bản sách, đĩa, đĩa phim tư liệu về văn hoá truyền thống đồng bào dân tộc thiểu số</t>
  </si>
  <si>
    <t>Số di tích quốc gia đặc biệt, di tích quốc gia có giá trị tiêu biểu của các dân tộc thiểu số cần hỗ trợ chống xuống cấp</t>
  </si>
  <si>
    <t>Di tích</t>
  </si>
  <si>
    <t>DỰ ÁN 6: Bảo tồn, phát huy giá trị văn hóa truyền thống tốt đẹp của các dân tộc thiểu số gắn với phát triển du lịch</t>
  </si>
  <si>
    <t>Sở Y tế</t>
  </si>
  <si>
    <t>Mỗi xã khu vực III</t>
  </si>
  <si>
    <t>Mỗi xã khu vực II</t>
  </si>
  <si>
    <t>Mỗi xã khu vực I</t>
  </si>
  <si>
    <t>Hội liên hiệp phụ nữ tỉnh</t>
  </si>
  <si>
    <t>Mỗi xã ĐBKK (xã khu vực III); Xã ATK thuộc khu vực II, I (xã chưa được cấp có thẩm quyền công nhận đạt chuẩn NTM, hoàn thành mục tiêu Chương trình 135)</t>
  </si>
  <si>
    <r>
      <t>Mỗi thôn ĐBKK không thuộc xã</t>
    </r>
    <r>
      <rPr>
        <b/>
        <sz val="12"/>
        <rFont val="Times New Roman"/>
        <family val="1"/>
      </rPr>
      <t xml:space="preserve"> </t>
    </r>
    <r>
      <rPr>
        <sz val="12"/>
        <rFont val="Times New Roman"/>
        <family val="1"/>
      </rPr>
      <t>khu vực III (Số</t>
    </r>
    <r>
      <rPr>
        <b/>
        <sz val="12"/>
        <rFont val="Times New Roman"/>
        <family val="1"/>
      </rPr>
      <t xml:space="preserve"> </t>
    </r>
    <r>
      <rPr>
        <i/>
        <sz val="12"/>
        <rFont val="Times New Roman"/>
        <family val="1"/>
      </rPr>
      <t>thôn ĐBKK được tính điểm phân bổ vốn không quá 04 thôn/xã ngoài khu vực III)</t>
    </r>
  </si>
  <si>
    <t>Tỷ lệ tảo hôn + Tỷ lệ hôn nhân cận huyết thống</t>
  </si>
  <si>
    <t>Số mô hình được thực hiện nhằm giảm thiểu tảo hôn và hôn nhân cận huyết</t>
  </si>
  <si>
    <t>Mô hình</t>
  </si>
  <si>
    <t>DỰ ÁN 9: Đầu tư phát triển nhóm dân tộc thiểu số rất ít người và nhóm dân tộc còn nhiều khó khăn
Tiểu Dự án 2: Giảm thiểu tình trạng tảo hôn và hôn nhân cận huyết thống trong vùng đồng bào dân tộc thiểu số và miền núi</t>
  </si>
  <si>
    <t>Điểm</t>
  </si>
  <si>
    <t>Ban Dân tộc</t>
  </si>
  <si>
    <t>Ban Dân tộc tỉnh</t>
  </si>
  <si>
    <t>Sở Tư pháp</t>
  </si>
  <si>
    <t>DỰ ÁN 10: Truyền thông, tuyên truyền, vận động trong vùng đồng bào dân tộc thiểu số và miền núi. Kiểm tra, giám sát đánh giá việc tổ chức thực hiện Chương trình
TIỂU DỰ ÁN 1: Biểu dương, tôn vinh điển hình tiên tiến, phát huy vai trò của người có uy tín; phổ biến, giáo dục pháp luật và tuyên truyền, vận động đồng bào;
truyền thông phục vụ tổ chức triển khai thực hiện Đề án Tổng thể và Chương trình mục tiêu quốc gia</t>
  </si>
  <si>
    <t>DỰ ÁN 10: Truyền thông, tuyên truyền, vận động trong vùng đồng bào dân tộc thiểu số và miền núi. Kiểm tra, giám sát đánh giá việc tổ chức thực hiện Chương trình
TIỂU DỰ ÁN 3: Kiểm tra, giám sát, đánh giá, đào tạo, tập huấn tổ chức thực hiện Chương trình</t>
  </si>
  <si>
    <t>Tiểu dự án 3: Phát triển giáo dục nghề nghiệp và giải quyết việc làm cho người lao động vùng dân tộc thiểu số và miền núi</t>
  </si>
  <si>
    <t>Tại Tiểu Dự án 2, có 02 nội dung:
+ Nội dung 1: Bồi dưỡng kiến thức dân tộc
+ Nội dung 2: Đào tạo dự bị đại học, đại học và sau đại học.
Theo dự thảo điều chỉnh, bổ sung Nghị quyết 02/2022/NQ-HĐND, giao cho Sở Giáo dục và Đào tạo 100% để thực hiện nội dung đào tạo đại học, sau đại học. Tuy nhiên chưa có căn cứ để giao cho sở Giáo dục và Đao tạo 100% nội dung 2 là theo số liệu rà soát hay theo hình thức nào.</t>
  </si>
  <si>
    <t>Sở Xây dựng</t>
  </si>
  <si>
    <t>Sở Giao thông vận tải</t>
  </si>
  <si>
    <t>Kinh phí hỗ trợ chuyển đổi nghề</t>
  </si>
  <si>
    <t>Kinh phí hỗ trợ nước sinh hoạt phân tán</t>
  </si>
  <si>
    <t>Mỗi ha rừng được hỗ trợ khoán bảo vệ rừng đối với rừng đặc dụng, rừng phòng hộ và diện tích rừng tự nhiên do Công ty TNHH MTV Lâm nghiệp Bắc Kạn và UBND cấp xã trực tiếp quản lý</t>
  </si>
  <si>
    <t>Ha</t>
  </si>
  <si>
    <t>Tấn</t>
  </si>
  <si>
    <t>Công ty Lâm nghiệp Bắc Kạn</t>
  </si>
  <si>
    <t>Vốn NSTW</t>
  </si>
  <si>
    <t>Vốn NSĐP đối ứng</t>
  </si>
  <si>
    <t>Tỷ lệ phân bổ (%)</t>
  </si>
  <si>
    <t>Số tiền (triệu đồng)</t>
  </si>
  <si>
    <t>DỰ ÁN 4: Đầu tư cơ sở hạ tầng thiết yếu, phục vụ sản xuất, đời sống trong vùng đồng bào DTTS&amp;MN và các đơn vị sự nghiệp công của lĩnh vực dân tộc  
TIỂU DỰ ÁN 1: Đầu tư cơ sở hạ tầng thiết yếu, phục vụ sản xuất, đời sống trong vùng đồng bào DTTS&amp;MN</t>
  </si>
  <si>
    <t>Mỗi bộ tài liệu, sách giáo khoa, văn phòng phân phát cho người học</t>
  </si>
  <si>
    <t>Tiểu dự án 1</t>
  </si>
  <si>
    <t>Sở Giáo dục Đào tạo (Trường PTDT nội trú tỉnh)</t>
  </si>
  <si>
    <t>Biểu 07</t>
  </si>
  <si>
    <t>Tiểu dự án 3</t>
  </si>
  <si>
    <t>DỰ ÁN 5: Phát triển giáo dục đào tạo nâng cao chất lượng nguồn nhân lực
TIỂU DỰ ÁN 4: Đào tạo nâng cao năng lực cho cộng đồng và cán bộ triển khai Chương trình ở các cấp</t>
  </si>
  <si>
    <t>Mỗi xã ĐBKK (xã khu vực III), xã ATK thuộc khu vực II, I (xã chưa được cấp có thẩm quyền công nhận đạt chuẩn NTM, hoàn thành mục tiêu Chương trình 135)</t>
  </si>
  <si>
    <t>Mỗi thôn ĐBKK không thuộc xã khu vực III (số thôn ĐBKK được tính điểm phân bổ vốn không quá 4 thôn/xã ngoài khu vực III)</t>
  </si>
  <si>
    <t>Tiểu dự án 4</t>
  </si>
  <si>
    <t>Sở Văn hóa, Thể thao và Du lịch</t>
  </si>
  <si>
    <t>Dự án 6</t>
  </si>
  <si>
    <t>Tổ chức bảo tồn các loại hình văn hoá phi vật thể (mỗi lễ hội; mỗi mô hình văn hoá truyền thống; mỗi dự án nghiên cứu, phục dựng, bảo tồn; mỗi làng văn hóa truyền thống; mỗi chương trình tuyên truyền, quảng bá văn hoá truyền thống văn hoá các dân tộc thiểu số)</t>
  </si>
  <si>
    <t>Khảo sát, kiểm kê, sưu tầm, tư liệu hoá di sản văn hóa truyền thống của đồng bào dân tộc thiểu số cho vùng đồng bào DTTSMN</t>
  </si>
  <si>
    <t>Sở Văn hóa, Thể thao và Du lịch (theo định mức)</t>
  </si>
  <si>
    <t>DỰ ÁN 7: Chăm sóc sức khỏe nhân dân, nâng cao thể trạng, tầm vóc người dân tộc thiểu số; 
phòng chống suy dinh dưỡng trẻ em</t>
  </si>
  <si>
    <t>DỰ ÁN 8: Thực hiện bình đẳng giới và giải quyết những vấn đề cấp thiết đối với phụ nữ và trẻ em</t>
  </si>
  <si>
    <t>Dự án 8</t>
  </si>
  <si>
    <t>Tiểu dự án 2</t>
  </si>
  <si>
    <t>Số điểm theo Nghị quyết số 02/2022/NQ-HĐND</t>
  </si>
  <si>
    <t>Số lượng</t>
  </si>
  <si>
    <t>Số điểm (Xk,i = Điểm tương ứng từng tiêu chí x số lượng tiêu chí tại mỗi huyện)</t>
  </si>
  <si>
    <t>Chợ Mới</t>
  </si>
  <si>
    <t>Chợ Đồn</t>
  </si>
  <si>
    <t>Ngân Sơn</t>
  </si>
  <si>
    <t>Bạch Thông</t>
  </si>
  <si>
    <t>Na Rì</t>
  </si>
  <si>
    <t>Pác Nặm</t>
  </si>
  <si>
    <t>Ba Bể</t>
  </si>
  <si>
    <t xml:space="preserve">Thành phố </t>
  </si>
  <si>
    <t xml:space="preserve">TỔNG ĐIỂM </t>
  </si>
  <si>
    <t>II. Tính số vốn NSTW phân bổ cho từng địa phương, đơn vị tương ứng với từng tiểu dự án (Triệu đồng)</t>
  </si>
  <si>
    <t>NSTW</t>
  </si>
  <si>
    <t>Sở Thông tin và Truyền thông</t>
  </si>
  <si>
    <t>Sở Nông nghiệp và Phát triển Nông thôn</t>
  </si>
  <si>
    <t>Sở Giáo dục và Đào tạo</t>
  </si>
  <si>
    <t>Bộ Chỉ huy Quân sự tỉnh</t>
  </si>
  <si>
    <t>Sở Tài chính</t>
  </si>
  <si>
    <t>Ủy ban Mặt trận tổ quốc Việt Nam tỉnh</t>
  </si>
  <si>
    <t>Sở Kế hoạch và Đầu tư</t>
  </si>
  <si>
    <t>Sở Công thương</t>
  </si>
  <si>
    <t>Ngân hàng nhà nước Việt Nam</t>
  </si>
  <si>
    <t>Ngân hàng Chính sách xã hội tỉnh</t>
  </si>
  <si>
    <t>Công an tỉnh</t>
  </si>
  <si>
    <t>Liên minh Hợp tác xã</t>
  </si>
  <si>
    <t>Hội Nông dân tỉnh</t>
  </si>
  <si>
    <r>
      <t>2. Phân bổ cho các địa phương (</t>
    </r>
    <r>
      <rPr>
        <b/>
        <i/>
        <sz val="13"/>
        <rFont val="Times New Roman"/>
        <family val="1"/>
      </rPr>
      <t>phân bổ trên số còn lại sau khi đã phân bổ cho cơ quan, đơn vị cấp tỉnh</t>
    </r>
    <r>
      <rPr>
        <b/>
        <sz val="13"/>
        <rFont val="Times New Roman"/>
        <family val="1"/>
      </rPr>
      <t>)</t>
    </r>
  </si>
  <si>
    <t>Dự án/Tiểu dự án</t>
  </si>
  <si>
    <t>Tổng vốn còn lại sau khi phân bổ cho các cơ quan, đơn vị cấp tỉnh</t>
  </si>
  <si>
    <t xml:space="preserve">Tổng điểm </t>
  </si>
  <si>
    <t xml:space="preserve">Vốn định mức cho 1 điểm phân bổ </t>
  </si>
  <si>
    <t>Vốn phân bổ cho từng đơn vị, địa phương (Qi x Xk,i)</t>
  </si>
  <si>
    <t>Đơn vị/Huyện, Thành phố</t>
  </si>
  <si>
    <t>Sự nghiệp kinh tế</t>
  </si>
  <si>
    <t>Trong đó</t>
  </si>
  <si>
    <t>Cấp tỉnh</t>
  </si>
  <si>
    <t>Các huyện, thành phố</t>
  </si>
  <si>
    <t>I. Tính tổng điểm và số điểm tương ứng của tiểu dự án</t>
  </si>
  <si>
    <t>1. Vốn phân bổ cho các cơ quan cấp tỉnh</t>
  </si>
  <si>
    <t>Tỷ lệ (%)</t>
  </si>
  <si>
    <t>Số tiền</t>
  </si>
  <si>
    <t>Ban Dân vận Tỉnh ủy</t>
  </si>
  <si>
    <t>Sở Tài nguyên Môi trường</t>
  </si>
  <si>
    <t>III. Số vốn phân bổ từ nguồn Trung ương và vốn đối ứng NSĐP cho từng đơn vị, địa phương để thực hiện dự án 10</t>
  </si>
  <si>
    <t>Vốn đối ứng NSĐP</t>
  </si>
  <si>
    <t>Số kinh phí phân bổ lần này</t>
  </si>
  <si>
    <t>Số kinh phí chưa phân bổ</t>
  </si>
  <si>
    <t>4=5+6</t>
  </si>
  <si>
    <t>Hỗ trợ phát triển sản xuất theo chuỗi giá trị, thúc đẩy khởi sự kinh doanh, khởi nghiệp và thu hút đầu tư vùng ĐBDTTS và MN</t>
  </si>
  <si>
    <t>Tiểu dự án 2: Ứng dụng công nghệ thông tin hỗ trợ phát triển kinh tế - xã hội và đảm bảo an ninh trật tự vùng ĐBDTTS và MN</t>
  </si>
  <si>
    <t>Đơn vị,/địa phương</t>
  </si>
  <si>
    <t>Dự án 1</t>
  </si>
  <si>
    <t>Dự án 3</t>
  </si>
  <si>
    <t>Dự án 4</t>
  </si>
  <si>
    <t>Dự án 5</t>
  </si>
  <si>
    <t>Dự án 7</t>
  </si>
  <si>
    <t>Dự án 9</t>
  </si>
  <si>
    <t>Dự án 10</t>
  </si>
  <si>
    <t>Tổng dự án 1</t>
  </si>
  <si>
    <t>Tổng dự án 3</t>
  </si>
  <si>
    <t>Tổng dự án 5</t>
  </si>
  <si>
    <t>Tổng dự án 8</t>
  </si>
  <si>
    <t>Tổng dự án 10</t>
  </si>
  <si>
    <t>Tổng dự án 4</t>
  </si>
  <si>
    <t>Tổng cộng</t>
  </si>
  <si>
    <t>Tổng dự án 6</t>
  </si>
  <si>
    <t>Tổng dự án 7</t>
  </si>
  <si>
    <t>Tổng dự án 9</t>
  </si>
  <si>
    <t>NSĐP đối ứng</t>
  </si>
  <si>
    <t>SNGD</t>
  </si>
  <si>
    <t>SNYT</t>
  </si>
  <si>
    <t>SNVH</t>
  </si>
  <si>
    <t>SNKT</t>
  </si>
  <si>
    <t>ĐBXH</t>
  </si>
  <si>
    <t>TW</t>
  </si>
  <si>
    <t>ĐP</t>
  </si>
  <si>
    <t>Chi tiết theo Biểu 03</t>
  </si>
  <si>
    <t>Chi tiết theo Biểu 04</t>
  </si>
  <si>
    <t>Chi tiết theo Biểu 05</t>
  </si>
  <si>
    <t>Chi tiết theo Biểu 06</t>
  </si>
  <si>
    <t>Chi tiết theo Biểu 07</t>
  </si>
  <si>
    <t>Chi tiết theo Biểu 08</t>
  </si>
  <si>
    <t>Chi tiết theo Biểu 09</t>
  </si>
  <si>
    <t>Chi tiết theo Biểu 10</t>
  </si>
  <si>
    <t>Chi tiết theo Biểu 11</t>
  </si>
  <si>
    <t>Chi tiết theo Biểu 12</t>
  </si>
  <si>
    <t>Chi tiết theo Biểu 13</t>
  </si>
  <si>
    <t>Chi tiết theo Biểu 14</t>
  </si>
  <si>
    <t>Chi tiết theo Biểu 15</t>
  </si>
  <si>
    <t>Công ty TNHH MTV Lâm nghiệp Bắc Kạn</t>
  </si>
  <si>
    <t>BIỂU TỔNG HỢP KINH PHÍ SỰ NGHIỆP THỰC HIỆN CHƯƠNG TRÌNH MỤC TIÊU QUỐC GIA PHÁT TRIỂN KINH TẾ - XÃ HỘI VÙNG ĐỒNG BÀO DÂN TỘC THIỂU SỐ VÀ MIỀN NÚI NĂM 2024
TỔNG HỢP THEO DỰ ÁN, TIỂU DỰ ÁN, NỘI DUNG THÀNH PHẦN</t>
  </si>
  <si>
    <t>BẢNG PHÂN BỔ CHI TIẾT NGUỒN VỐN CHO CÁC ĐƠN VỊ, ĐỊA PHƯƠNG THỰC HIỆN CHƯƠNG TRÌNH MỤC TIÊU QUỐC GIA PHÁT TRIỂN KINH TẾ -  XÃ HỘI VÙNG ĐỒNG BÀO DÂN TỘC THIỂU SỐ VÀ MIỀN NÚI NĂM 2024</t>
  </si>
  <si>
    <t>Kinh phí đối ứng NSĐP năm 2024 (5%)</t>
  </si>
  <si>
    <t>Tổng vốn phân bổ năm 2024 (III+IV)</t>
  </si>
  <si>
    <t xml:space="preserve"> </t>
  </si>
  <si>
    <t>Sở Nông nghiệp và PTNT</t>
  </si>
  <si>
    <t>Kinh phí cho các dự án chuyển tiếp sang năm 2024</t>
  </si>
  <si>
    <t>Kinh phí phân bổ theo tiêu chí tại Nghị quyết 13/2023NQ-HĐND</t>
  </si>
  <si>
    <t>Cứ 1% tỷ lệ nghèo của xã ĐBKK</t>
  </si>
  <si>
    <t>Cú 1% tỷ lệ nghèo của xã ĐBKK</t>
  </si>
  <si>
    <t>Mẫu số 03</t>
  </si>
  <si>
    <t>Đơn vị: Triệu đồng</t>
  </si>
  <si>
    <t>Chủ đầu tư</t>
  </si>
  <si>
    <t>Đơn vị chủ trì liên kết</t>
  </si>
  <si>
    <t>Địa chỉ đơn vị chủ trì liên kết</t>
  </si>
  <si>
    <t>Tên dự án/Kế hoạch</t>
  </si>
  <si>
    <t>Quy mô dự án</t>
  </si>
  <si>
    <t>Địa bàn thực hiện dự án</t>
  </si>
  <si>
    <t>Thời gian thực hiện liên kết (không quá 05 năm)</t>
  </si>
  <si>
    <t>Số Quyết định phê duyệt dự án</t>
  </si>
  <si>
    <t>Nội dung đề nghị hỗ trợ của dự án</t>
  </si>
  <si>
    <t>KP thực hiện dự án (Tính từ khi triển khai đến khi kết thúc dự án)</t>
  </si>
  <si>
    <t>Tỷ lệ kinh phí NSNN trên tổng KP thực hiện DA (%)</t>
  </si>
  <si>
    <t>Tổng KP thuộc NSNN đã được bố trí từ năm 2023 trở về trước</t>
  </si>
  <si>
    <t>Tổng KP NSNN phải bố trí từ năm 2025 trở đi</t>
  </si>
  <si>
    <t xml:space="preserve">Tổng KP thực hiện dự án </t>
  </si>
  <si>
    <t>Ngân sách nhà nước</t>
  </si>
  <si>
    <t>Vốn trung ương giao</t>
  </si>
  <si>
    <t>NS tỉnh</t>
  </si>
  <si>
    <t>NS huyện (nếu có</t>
  </si>
  <si>
    <t>NS xã (nếu có)</t>
  </si>
  <si>
    <t>Vốn tín dụng (nếu có)</t>
  </si>
  <si>
    <t>Vốn của DN, HTX, hộ dân</t>
  </si>
  <si>
    <t>Vốn tài trợ, viện trợ (nếu có</t>
  </si>
  <si>
    <t>Vốn khác (nếu có)</t>
  </si>
  <si>
    <t>HUYỆN CHỢ MỚI</t>
  </si>
  <si>
    <t>Phòng Nông nghiệp và PTNT</t>
  </si>
  <si>
    <t>HTX Nông nghiệp sạch Tân Sơn</t>
  </si>
  <si>
    <t>Thôn Nặm Dất, xã tân Sơn, huyện Chợ Mới, tỉnh Bắc Kạn</t>
  </si>
  <si>
    <t>Dự án liên kết sản xuất gắn với tiêu thụ sản phẩm chăn nuôi bò sinh sản</t>
  </si>
  <si>
    <t>Xã Tân Sơn</t>
  </si>
  <si>
    <t>2023-2025</t>
  </si>
  <si>
    <t>Đang thẩm định dự án</t>
  </si>
  <si>
    <t>1.Tư vấn xây dựng liên kết
2. Hỗ Trợ đào tạo tập huấn kỹ thuật
3. Hỗ trợ vật tư, trang thiết bị phục vụ sản xuất, giống vật nuôi
 4. Chi phí xây dựng và quản lý dự án</t>
  </si>
  <si>
    <t xml:space="preserve">Hợp tác xã Nông nghiệp Minh Sơn </t>
  </si>
  <si>
    <t>Huyện Đại Từ, Thái Nguyên</t>
  </si>
  <si>
    <t>Dự án liên kết sản xuất và tiêu thụ sản phẩm gà thịt</t>
  </si>
  <si>
    <t>Xã Quảng Chu và các xã lân cận</t>
  </si>
  <si>
    <t>Hợp tác xã Thành Đạt</t>
  </si>
  <si>
    <t>Xã Nông Hạ</t>
  </si>
  <si>
    <t xml:space="preserve">Dự án liên kết sản xuất gắn với tiêu thụ sản phẩm cá ao thương phẩm </t>
  </si>
  <si>
    <t>1. Tư vấn xây dựng liên kết
2. Đào tạo tập huấn kỹ thuật
3.Vật tư, trang thiết bị phục vụ sản xuất
4. Hỗ trợ giống, vật tư</t>
  </si>
  <si>
    <t>HTX Bản Đén 2</t>
  </si>
  <si>
    <t>Xã Quảng Chu</t>
  </si>
  <si>
    <t>Dự án Liên kết sản xuất gắn với tiêu thụ sản phẩm chăn nuôi bò sinh sản</t>
  </si>
  <si>
    <t>HTX Mai Lạp</t>
  </si>
  <si>
    <t>Xã Mai Lạp</t>
  </si>
  <si>
    <t>Dự án hỗ trợ phát triển sản xuất liên kết theo chuỗi giá trị thâm canh tăng năng xuất, cải tạo diện tích cam, quýt già cối, kém hiệu quả bằng việc trồng mới gắn với tiêu thụ sản phẩm.</t>
  </si>
  <si>
    <t>Xã Mai Lạp và các xã lân cận</t>
  </si>
  <si>
    <t>HUYỆN PÁC NẶM</t>
  </si>
  <si>
    <t>HTX Vạn Lộc</t>
  </si>
  <si>
    <t>Thôn Nà Coóc xã Bộc Bố huyện Pác Nặm</t>
  </si>
  <si>
    <t>Dự án liên kết sản xuất gắn với tiêu thụ lợn thịt bản địa</t>
  </si>
  <si>
    <t>400con/chu kỳ/năm</t>
  </si>
  <si>
    <t xml:space="preserve">xã Bộc Bố và các xã lân cận thuộc huyện Pác Nặm </t>
  </si>
  <si>
    <t>2022-2024</t>
  </si>
  <si>
    <t xml:space="preserve">Quyết định 4012/QĐ-UBND ngày 29/12/2022 </t>
  </si>
  <si>
    <t>Tư vấn xây dựng liên kết, hỗ trợ giống, vật tư</t>
  </si>
  <si>
    <t>HTX Giáo Hiệu</t>
  </si>
  <si>
    <t>Thôn Nà Hin xã Giáo Hiệu huyện Pác Nặm</t>
  </si>
  <si>
    <t>Dự án liên kết sản xuất gắn với tiêu thụ sản phẩm bí xanh, mướp đắng rừng và nghệ trên đại bàn huyện Pác Nặm</t>
  </si>
  <si>
    <t>4,4ha bí xanh, 2ha mướp đắng rừng, 3,6ha nghệ/năm</t>
  </si>
  <si>
    <t xml:space="preserve">xã Giáo Hiệu và các xã lân cận thuộc huyện Pác Nặm </t>
  </si>
  <si>
    <t>Quyết định 3010/QĐ-UBND ngày 26/9/2022</t>
  </si>
  <si>
    <t>Trung tâm Dịch vụ nông nghiệp huyện</t>
  </si>
  <si>
    <t>HTX Lộc Tú Anh</t>
  </si>
  <si>
    <t>Thôn đông  lẻo, Xã Bộc Bố, huyện Pác Nặm</t>
  </si>
  <si>
    <t>Dự án liên kết sản xuất gắn với tiêu thụ gà thịt(Gà Ri lai)</t>
  </si>
  <si>
    <t xml:space="preserve"> 6.000 con/năm</t>
  </si>
  <si>
    <t>Xã Bộc Bố và các Xã lân cận của huyện Pác Nặm</t>
  </si>
  <si>
    <t>2023 - 2025</t>
  </si>
  <si>
    <t>1708/QĐ-UBND ngày 29/6/2023</t>
  </si>
  <si>
    <t>Hỗ trợ tư vẫn xây dụng liên kết, tập huấn kỹ thuật, giống vật tư trang thiết bị phục vụ sản xuất</t>
  </si>
  <si>
    <t>HTX Giả Ve</t>
  </si>
  <si>
    <t>Dự án liên kết sản xuất gắn với tiêu thụ sản phẩm lợn thịt bản địa</t>
  </si>
  <si>
    <t>Quyết định 1680 /QĐ-UBND ngày 27/6/2023</t>
  </si>
  <si>
    <t>HUYỆN BA BỂ</t>
  </si>
  <si>
    <t>UBND xã Bành Trạch</t>
  </si>
  <si>
    <t>HTX Kềm Miền</t>
  </si>
  <si>
    <t>Thôn Khuổi Slẳng, xã Bành Trạch</t>
  </si>
  <si>
    <t>Trồng, thâm canh, cải tạo cây hồng không hạt</t>
  </si>
  <si>
    <t>12ha</t>
  </si>
  <si>
    <t>Thôn Nà Lần, Khuổi Slẳng, Bản Lấp, xã Bành Trạch</t>
  </si>
  <si>
    <t>2023- 2025</t>
  </si>
  <si>
    <t xml:space="preserve">Tập huấn kỹ thuật,
 Xây dựng và quản lý dự án, Giống và vật tư </t>
  </si>
  <si>
    <t>Đã trình bố trí vốn 2023 là 485 triệu</t>
  </si>
  <si>
    <t>UBND xã Thượng Giáo</t>
  </si>
  <si>
    <t>HTX Thành Phát</t>
  </si>
  <si>
    <t>Thôn Nà Tạ, xã Thượng Giáo</t>
  </si>
  <si>
    <t>DA hỗ trợ PTSX liên kết theo chuối giá trị chăn nuôi bò sinh sản</t>
  </si>
  <si>
    <t>150 con</t>
  </si>
  <si>
    <t>Thôn Nà Ché, Bản Pục, Pác Phai, Nà Săm, xã Thượng Giáo</t>
  </si>
  <si>
    <t>Hỗ trợ Tập huấn kỹ thuật,
 Xây dựng và quản lý dự án,Giống và thức ăn, thuốc thú y, Vắc xin</t>
  </si>
  <si>
    <t>UBND xã Hà Hiệu</t>
  </si>
  <si>
    <t>HTX Dịch vụ du lịch Lủng Cháng</t>
  </si>
  <si>
    <t>Thôn Bản Mới, xã Hà Hiệu</t>
  </si>
  <si>
    <t>Dự án hỗ trợ PTSX liên kết theo chuối giá trị chăn nuôi lợn thịt bản địa</t>
  </si>
  <si>
    <t>600 con</t>
  </si>
  <si>
    <t>Thôn Đông Đăm, Lủng Tráng, xã Hà Hiệu</t>
  </si>
  <si>
    <t>UBND xã Yến Dương</t>
  </si>
  <si>
    <t>HTX Nhung Lũy</t>
  </si>
  <si>
    <t>Thôn Khuổi Luồm, xã Yến Dương</t>
  </si>
  <si>
    <t>Dự án hỗ trợ phát triển sản xuất liên kết theo chuỗi giá trị gắn với tiêu thụ sản phẩm bò sinh sản</t>
  </si>
  <si>
    <t>170 con</t>
  </si>
  <si>
    <t>Thôn Khuổi Luồm, Nà Giảo, Loỏng Lứng, Nà Pài, Nà Viến, xã Yến Dương</t>
  </si>
  <si>
    <t xml:space="preserve">1. Hỗ trợ tập huấn kỹ thuật; 
2. Vật tư, trang thiết bị phục vụ sản xuất, giống vật nuôi       
</t>
  </si>
  <si>
    <t>Nhu cầu vốn 2023 là 2200, triệu đồng, đã trình bố trí vốn 2023 là 485 triệu</t>
  </si>
  <si>
    <t>Dự án hỗ trợ phát triển sản xuất liên kết theo chuỗi giá trị gắn với tiêu thụ sản phẩm chăn nuôi gà thịt</t>
  </si>
  <si>
    <t>45.000 con</t>
  </si>
  <si>
    <t>các thôn Khuổi Luồm, Nà Giảo, Loỏng Lứng, Nà Pài, Nà Viến</t>
  </si>
  <si>
    <t>UBND xã Phúc Lộc</t>
  </si>
  <si>
    <t>HTX NLN tổng hợp Tân Phước</t>
  </si>
  <si>
    <t>Thôn Khuổi Trả, xã Phúc Lộc</t>
  </si>
  <si>
    <t>Dự án hỗ trợ phát triển sản xuất liên kết theo chuỗi giá trị gắn với tiêu thụ sản phẩm chăn nuôi trâu, bò vỗ béo</t>
  </si>
  <si>
    <t>300 con</t>
  </si>
  <si>
    <t>Xã Phúc Lộc</t>
  </si>
  <si>
    <t>Dự án hỗ trợ phát triển sản xuất liên kết theo chuỗi giá trị gắn với tiêu thụ sản phẩm dong riềng</t>
  </si>
  <si>
    <t>Xã Phúc Lộc và các xã trên địa bàn huyện Ba Bể</t>
  </si>
  <si>
    <t>Năm 2023 không kịp thời vụ đã điều chỉnh vốn sang thực hiện dự án khác</t>
  </si>
  <si>
    <t>UBND xã Chu Hương</t>
  </si>
  <si>
    <t>HTX nông nghiệp và dịch vụ Bắc Thái</t>
  </si>
  <si>
    <t>Xóm Hồng Thái, xã Tân Cương, TP Thái Nguyên</t>
  </si>
  <si>
    <t>Dự án hỗ trợ phát triển sản xuất liên kết theo chuỗi giá trị gắn với tiêu thụ sản phẩm cải tạo, thâm canh cây chè Trung du</t>
  </si>
  <si>
    <t>06 ha</t>
  </si>
  <si>
    <t>Xã Chu Hương, huyện Ba Bể</t>
  </si>
  <si>
    <t>HUYỆN NA RÌ</t>
  </si>
  <si>
    <t xml:space="preserve">Trung tâm DVNN </t>
  </si>
  <si>
    <t>HTX Công Thành Phát</t>
  </si>
  <si>
    <t>Thôn Nà Chót, xã Trần Phú</t>
  </si>
  <si>
    <t>Dự án liên kết sản xuất và tiêu thụ sản phẩm dong riềng</t>
  </si>
  <si>
    <t>15 ha/ Chu kỳ</t>
  </si>
  <si>
    <t>Xã Trần Phú</t>
  </si>
  <si>
    <t>Số 4696/QĐ-UBND ngày 31/12/2022</t>
  </si>
  <si>
    <t>Hỗ trợ tư vấn xây dựng liên kết
Hỗ trợ giống, vật tư</t>
  </si>
  <si>
    <t xml:space="preserve"> HTX Dịch vụ tổng hợp Na Rì</t>
  </si>
  <si>
    <t>Thôn Nà Mển, xã Trần Phú</t>
  </si>
  <si>
    <t>Dự án liên kết sản xuất và tiêu thụ sản phẩm bí xanh bí đỏ</t>
  </si>
  <si>
    <t>5 ha/ Chu kỳ</t>
  </si>
  <si>
    <t>Xã Trần Phú, Cư Lễ, Sơn Thành</t>
  </si>
  <si>
    <t>Số 4695/QĐ-UBND ngày 31/12/2022</t>
  </si>
  <si>
    <t>HTX Đường mía Cường Lợi</t>
  </si>
  <si>
    <t>Thôn Pò Nim, xã Cường Lợi</t>
  </si>
  <si>
    <t>Dự án PTSX liên kết theo chuỗi giá trị gắn với tiêu thụ sản phẩm gà thịt</t>
  </si>
  <si>
    <t>3.400 con/ Chu kỳ</t>
  </si>
  <si>
    <t>Xã Cường Lợi</t>
  </si>
  <si>
    <t>Số 4254/QĐ-UBND ngày 09/12/2022</t>
  </si>
  <si>
    <t>Hỗ trợ tư vấn xây dựng liên kết; Hỗ trợ giống, vật tư</t>
  </si>
  <si>
    <t>HTX Việt Cường</t>
  </si>
  <si>
    <t>Thôn Chợ Mới, xã Văn Lang</t>
  </si>
  <si>
    <t>Xã Văn Lang</t>
  </si>
  <si>
    <t>Hỗ trợ tư vấn xây dựng liên kết
Hỗ trợ tập huấn kỹ thuật
Hỗ trợ giống, vật tư</t>
  </si>
  <si>
    <t>HTX cá nước lạnh Ân Tình</t>
  </si>
  <si>
    <t>Thôn Nà Dường, xã Văn Lang</t>
  </si>
  <si>
    <t>Dự án liên kết sảnxuất và tiêu thụ sản phẩm cá tầm</t>
  </si>
  <si>
    <t>3.000-4.000 con ha/ Chu kỳ</t>
  </si>
  <si>
    <t>Trên địa bàn huyện</t>
  </si>
  <si>
    <t>HTX Bình Minh</t>
  </si>
  <si>
    <t>Thôn Bản Đâng, xã Trần Phú</t>
  </si>
  <si>
    <t>Dự án PTSX liên kết theo chuỗi giá trị gắn với tiêu thụ sản phẩm khoai tây</t>
  </si>
  <si>
    <t>10 ha/ Chu kỳ</t>
  </si>
  <si>
    <t>Xã Trần Phú và các xã lân cận</t>
  </si>
  <si>
    <t>HTX trồng và sản xuất duợc liệu Bảo Châu</t>
  </si>
  <si>
    <t>Thôn Phiêng Bang, xã Văn Lang</t>
  </si>
  <si>
    <t>Dự án liên kết sản xuất và tiêu thụ sản phẩm dược liệu</t>
  </si>
  <si>
    <t>06 ha/03 chu kỳ</t>
  </si>
  <si>
    <t>2022-2026</t>
  </si>
  <si>
    <t>3239/QĐ-UBND ngày 08/09/2022</t>
  </si>
  <si>
    <t>Hỗ trợ giống, vật tư;</t>
  </si>
  <si>
    <t>Không bố trí do HTX đề nghị không hỗ trợ thực hiện dự án</t>
  </si>
  <si>
    <t>UBND xã Liêm Thủy</t>
  </si>
  <si>
    <t>HTX Nông nghiệp Liêm Thủy</t>
  </si>
  <si>
    <t>Thôn Nà Bó, xã Liêm Thủy</t>
  </si>
  <si>
    <t>Dự án liên kết sản xuất và tiêu thụ sản phẩm lợn thịt</t>
  </si>
  <si>
    <t>400 con/ chu kỳ sản xuất</t>
  </si>
  <si>
    <t>Xã Liêm Thủy</t>
  </si>
  <si>
    <t>Hỗ trợ tư vấn xây dựng liên kết
Hỗ trợ tập huấn kỹ thuật
Hỗ trợ vật tư, giống.</t>
  </si>
  <si>
    <t xml:space="preserve"> HUYỆN CHỢ ĐỒN</t>
  </si>
  <si>
    <t xml:space="preserve">UBND xã Yên Mỹ </t>
  </si>
  <si>
    <t>HỢP TÁC XÃ BÁNH CHƯNG XANH</t>
  </si>
  <si>
    <t>Thôn Pác Khoang, xã Yên Mỹ, huyện Chợ Đồn, tỉnh Bắc Kạn</t>
  </si>
  <si>
    <t>Dự án liên kết sản xuất gắn với tiêu thụ sản phẩm chăn nuôi gà thả vườn thương phẩm</t>
  </si>
  <si>
    <t>20.000 con/chu kỳ</t>
  </si>
  <si>
    <t>Xã Yên Mỹ</t>
  </si>
  <si>
    <t>Quyết định số 372/QĐ-NN&amp;PTNT ngày 15/9/2023</t>
  </si>
  <si>
    <t>- Hỗ trợ tư vấn xây dựng liên kết
- Hỗ trợ đào tạo tập huấn kỹ thuật
- Hỗ trợ vật tư, trang thiết bị phục vụ sản xuất, giống vật nuôi
- Chi phí xây dựng quản lý dự án</t>
  </si>
  <si>
    <t>Phòng NN&amp;PTNT</t>
  </si>
  <si>
    <t>HỢP TÁC XÃ LỢI LỘC</t>
  </si>
  <si>
    <t>Thôn Bản Quá, xã Nam Cường, huyện Chợ Đồn, tỉnh Bắc Kạn</t>
  </si>
  <si>
    <t>600 con/chu kỳ</t>
  </si>
  <si>
    <t>Xã Nam Cường và xã lân cận</t>
  </si>
  <si>
    <t>Quyết định số 373/QĐ-NN&amp;PTNT ngày 15/9/2023</t>
  </si>
  <si>
    <t>UBND xã Bằng Phúc</t>
  </si>
  <si>
    <t>HỢP TÁC XÃ RƯỢU MEN LÁ THANH TÂM</t>
  </si>
  <si>
    <t>Thôn Nà Pài, xã Bằng Phúc, huyện Chợ Đồn, tỉnh Bắc Kạn</t>
  </si>
  <si>
    <t>Dự án liên kết sản xuất gắn với tiêu thụ sản phẩm chăn nuôi Bò sinh sản</t>
  </si>
  <si>
    <t>32 con/năm 2024</t>
  </si>
  <si>
    <t>Xã Bằng Phúc</t>
  </si>
  <si>
    <t>Quyết định số 376/QĐ-NN&amp;PTNT ngày 15/9/2023</t>
  </si>
  <si>
    <t>HỢP TÁC XÃ NÔNG NGHIỆP BẰNG PHÚC</t>
  </si>
  <si>
    <t>Dự án liên kết sản xuất gắn với tiêu thụ sản phẩm chăn nuôi trâu sinh sản</t>
  </si>
  <si>
    <t>20con/năm 2024</t>
  </si>
  <si>
    <t>Quyết định số 375/QĐ-NN&amp;PTNT ngày 15/9/2023</t>
  </si>
  <si>
    <t>HỢP TÁC XÃ HỒNG LUÂN</t>
  </si>
  <si>
    <t>Thôn Nà Chắc, xã Tân Lập, huyện Chợ Đồn, tỉnh Bắc Kạn</t>
  </si>
  <si>
    <t>Xã Tân Lập và các xã lân cận</t>
  </si>
  <si>
    <t>Quyết định số 379/QĐ-NN&amp;PTNT ngày 15/9/2023</t>
  </si>
  <si>
    <t>HỢP TÁC XÃ RƯỢU MEN LÁ BẰNG PHÚC</t>
  </si>
  <si>
    <t>Dự án liên kết sản xuất gắn với tiêu thụ sản phẩm chè San Tuyết Bằng Phúc</t>
  </si>
  <si>
    <t>03ha/chu kỳ</t>
  </si>
  <si>
    <t>Quyết định số 378/QĐ-NN&amp;PTNT ngày 15/9/2023</t>
  </si>
  <si>
    <t>VI</t>
  </si>
  <si>
    <t>NGÂN SƠN</t>
  </si>
  <si>
    <t>UBND xã Thuần Mang</t>
  </si>
  <si>
    <t>Hợp tác xã Thành Quang</t>
  </si>
  <si>
    <t>Thôn Bản Giang, xã Thuần Mang, huyện Ngân Sơn, tỉnh Bắc Kạn</t>
  </si>
  <si>
    <t>Dự án liên kết trong sản xuất và tiêu thụ sản phẩm nấm Hương</t>
  </si>
  <si>
    <t>90 tấn nguyên liệu (30 tấn nguyên liệu/chu kỳ/ năm, thực hiện 3 chu kỳ/3 năm)</t>
  </si>
  <si>
    <t>Xã Thuần Mang, huyện Ngân Sơn, tỉnh Bắc Kạn</t>
  </si>
  <si>
    <t>3 năm (2023-2025)</t>
  </si>
  <si>
    <t>Chưa phê duyệt dự án</t>
  </si>
  <si>
    <t>Hỗ trợ tư vấn xây dựng liên kết; Hỗ trợ tập huấn kỹ thuật; Hỗ trợ giống, vật tư, trang thiết bị sản xuất; Hỗ trợ chi phí xây dựng và quản lý dự án</t>
  </si>
  <si>
    <t>UBND xã Cốc Đán</t>
  </si>
  <si>
    <t>Hợp tác xã OCOP Cốc Đán</t>
  </si>
  <si>
    <t>Thôn Khuổi diễn, xã Cốc Đán, huyện Ngân Sơn, tỉnh Bắc Kạn</t>
  </si>
  <si>
    <t>Dự án Sản xuất chăn nuôi theo chuỗi giá trị gắn với tiêu thụ sản phẩm lợn bản địa</t>
  </si>
  <si>
    <t>1.200 con chia làm 3 chu kỳ sản xuất (400con/chu kỳ sản xuất)</t>
  </si>
  <si>
    <t>Xã Cốc Đán, huyện Ngân Sơn, tỉnh Bắc Kạn</t>
  </si>
  <si>
    <t>3 năm (2022-2024)</t>
  </si>
  <si>
    <t>Hỗ trợ tư vấn xây dựng liên kết; Hỗ trợ tập huấn kỹ thuật; Hỗ trợ giống, vật tư, bao bì, nhãn mác sản phẩm</t>
  </si>
  <si>
    <t>VII</t>
  </si>
  <si>
    <t>BẠCH THÔNG</t>
  </si>
  <si>
    <t>UBND huyện</t>
  </si>
  <si>
    <t>HTX Hòa Phát</t>
  </si>
  <si>
    <t>xã Lục Bình</t>
  </si>
  <si>
    <t>Dự án liên kết sản xuất và tiêu thụ sản phẩm trâu, bò vỗ béo của hợp tác xã Hòa Phát</t>
  </si>
  <si>
    <t>Vỗ béo 415 con trâu bò</t>
  </si>
  <si>
    <t>3344/QĐ-UBND</t>
  </si>
  <si>
    <t>Hỗ trợ tư vấn, tập huấn; Hỗ trợ vật tư; hỗ trợ hạ tầng</t>
  </si>
  <si>
    <t>HTX Dền Vang</t>
  </si>
  <si>
    <t>Dự án hỗ trợ phát triển sản xuất liên kết theo chuỗi giá trị trồng và tiêu thụ khoai tây nguyên liệu</t>
  </si>
  <si>
    <t>60 ha</t>
  </si>
  <si>
    <t>Xã Mỹ Thanh, Sỹ Bình</t>
  </si>
  <si>
    <t>2022 - 2024</t>
  </si>
  <si>
    <t>3346/QĐ-UBND</t>
  </si>
  <si>
    <t>Hỗ trợ tập huấn, hỗ trợ giống, vật tư, chi phí xây dựng và QLDA</t>
  </si>
  <si>
    <t>HTX Lủng Hoàn Xuất Hóa</t>
  </si>
  <si>
    <t>P. Xuất Hóa</t>
  </si>
  <si>
    <t>Dự án hỗ trợ phát triển sản xuất liên kết theo chuỗi giá trị Trồng và chế chè Shan Tuyết</t>
  </si>
  <si>
    <t>30 ha</t>
  </si>
  <si>
    <t>Xã Mỹ Thanh, Đôn Phong, Vi Hương</t>
  </si>
  <si>
    <t>3345/QĐ-UBND</t>
  </si>
  <si>
    <t>Hỗ trợ tập huấn, hỗ trợ giống, vật tư</t>
  </si>
  <si>
    <t>Dự án Liên kết sản xuất theo chuỗi giá trị Chăn nuôi trâu sinh sản tại xã Sỹ Bình</t>
  </si>
  <si>
    <t>Xã Sỹ Bình</t>
  </si>
  <si>
    <t>2023 -2025</t>
  </si>
  <si>
    <t>450/QĐ-UBND</t>
  </si>
  <si>
    <t>HTX Mộc Lan Rừng</t>
  </si>
  <si>
    <t>xã Cao Sơn, Vũ Muộn</t>
  </si>
  <si>
    <t>Dự án Liên kết sản xuất theo chuỗi giá trị Chăn nuôi lợn sinh sản bản địa tại xã Vũ Muộn, Cao Sơn</t>
  </si>
  <si>
    <t>xã Cao sơn, Vũ Muộn</t>
  </si>
  <si>
    <t>HTX Thiên An</t>
  </si>
  <si>
    <t>Xã Vi Hương</t>
  </si>
  <si>
    <t>Dự án Liên kết sản xuất theo chuỗi giá trị du lịch sinh thái gắn với cây trồng có giá trị cao tại xã Vi Hương</t>
  </si>
  <si>
    <t>67,19 ha</t>
  </si>
  <si>
    <t>xã Vi Hương</t>
  </si>
  <si>
    <t>HTX Bản Đôn</t>
  </si>
  <si>
    <t>Dự án Liên kết sản xuất theo chuỗi giá trị Chăn nuôi trâu sinh sản tại xã Đôn Phong</t>
  </si>
  <si>
    <t>180 con</t>
  </si>
  <si>
    <t>xã Đôn Phong</t>
  </si>
  <si>
    <t>HTXDền Vang</t>
  </si>
  <si>
    <t>Dự án Liên kết sản xuất theo chuỗi giá trị sản xuất lúa hàng hóa</t>
  </si>
  <si>
    <t>200 ha</t>
  </si>
  <si>
    <t>Xã Vi 
Hương, Lục Bình</t>
  </si>
  <si>
    <t>KP đề nghị bố trí năm2024 từ nguồn NSNN</t>
  </si>
  <si>
    <t>NHU CẦU KINH PHÍ THỰC HIỆN CÁC DỰ ÁN HỖ TRỢ PHÁT TRIỂN SẢN XUẤT THUỘC CHƯƠNG TRÌNH MỤC TIÊU QUỐC GIA 
PHÁT TRIỂN KINH TẾ - XÃ HỘI VÙNG ĐỒNG BÀO DÂN TỘC THIỂU SỐ VÀ MIỀN NÚI NĂM 2024</t>
  </si>
  <si>
    <t>TỔNG NHU CẦU VỐN CÁC DỰ ÁN CHUYỂN TIẾP</t>
  </si>
  <si>
    <t xml:space="preserve">1. Hỗ trợ tập huấn kỹ thuật; 
2. Vật tư    
3. Chi tư vấn và xây dựng dự án
</t>
  </si>
  <si>
    <t>1. Hỗ trợ tập huấn kỹ thuật; 
2. Giống, vật tư và máy móc trang thiết bị              
3. Tư vấn xây dựng liên kết.</t>
  </si>
  <si>
    <t>1. Hỗ trợ tập huấn kỹ thuật; 
2. Vật tư, trang thiết bị phục vụ sản xuất, giống vật nuôi          
3. Tư vấn xây dựng liên kết.
4. Chi khảo sát giá</t>
  </si>
  <si>
    <t>1. Hỗ trợ tập huấn kỹ thuật; 
2. Vật tư.   
3. Tư vấn xây dựng liên kết.</t>
  </si>
  <si>
    <t>Kinh phí đề nghị bố trí năm 2024 từ nguồn NSNN</t>
  </si>
  <si>
    <t xml:space="preserve"> - Chi tiết các dự án phát triển sản xuất chuyển tiếp sang năm 2024 theo Biểu số 5.1</t>
  </si>
  <si>
    <t>Kinh phí đối ứng NSĐP năm 2024 (không quy định)</t>
  </si>
  <si>
    <t>Tổng TDA 2, DA 3</t>
  </si>
  <si>
    <t>TDA1</t>
  </si>
  <si>
    <t>TDA2</t>
  </si>
  <si>
    <t>TDA3</t>
  </si>
  <si>
    <t>TDA4</t>
  </si>
  <si>
    <t>DỰ ÁN 5: Phát triển giáo dục đào tạo nâng cao chất lượng nguồn nhân lực
TIỂU DỰ ÁN 2: Bồi dưỡng kiến thức dân tộc; đào tạo đại học sau đại học đáp ứng nhu cầu nhân lực cho đồng bào dân tộc thiểu số và miền núi</t>
  </si>
  <si>
    <t>Nội dung 1 - Tiểu dự án 2</t>
  </si>
  <si>
    <t>Nội dung 2 - Tiểu dự án 2</t>
  </si>
  <si>
    <t>Nội dung 1- Tiểu dự án 2</t>
  </si>
  <si>
    <t>Nội dung 2- Tiểu dự án 2</t>
  </si>
  <si>
    <t>Kinh phí đối ứng NSĐP năm 2024 (Không quy định vốn đối ứng)</t>
  </si>
  <si>
    <t>Kinh phí đối ứng NSĐP năm 2024 (Không quy định)</t>
  </si>
  <si>
    <t>Sở Văn hóa, Thể thao và Du lịch (theo tiêu chí)</t>
  </si>
  <si>
    <t>Phân bổ cho Sở Y tế</t>
  </si>
  <si>
    <t xml:space="preserve">Tổng vốn phân bổ năm 2024 cho tiểu dự án 3, dự án 10 </t>
  </si>
  <si>
    <t>Kinh phí đã phân bổ năm 2023 (bao gồm NSTW và NSĐP đối ứng)</t>
  </si>
  <si>
    <t>Tổng dự toán phân bổ cho các đơn vị/địa phương năm 2024</t>
  </si>
  <si>
    <t>Nội dung 3</t>
  </si>
  <si>
    <t>Nội dung 4</t>
  </si>
  <si>
    <t>So sánh giữa phân bổ theo tiêu chí và nhu cầu</t>
  </si>
  <si>
    <t>So sánh giữa phân bổ theo tiêu chí và nhu cầu (V-VI)</t>
  </si>
  <si>
    <t>So sánh giữa phân bổ theo tiêu chí và nhu cầu 
(V-VI)</t>
  </si>
  <si>
    <t>Nhu cầu của các đơn vị, địa phương do Ban dân tộc tỉnh tổng hợp</t>
  </si>
  <si>
    <t>Kinh phí NSTW năm 2024 (SNKT)</t>
  </si>
  <si>
    <t>Kinh phí NSTW năm 2024 (SNGDĐT)</t>
  </si>
  <si>
    <t>Kinh phí NSTW năm 2024 (SNVHTT)</t>
  </si>
  <si>
    <t>Vốn NSTW (SNYT)</t>
  </si>
  <si>
    <t>DỰ ÁN 10: Truyền thông, tuyên truyền, vận động trong vùng đồng bào dân tộc thiểu số và miền núi. Kiểm tra, giám sát đánh giá việc tổ chức thực hiện Chương trình
TIỂU DỰ ÁN 2: Ứng dụng công nghệ thông tin hỗ trợ phát triển kinh tế - xã hội và đảm bảo an ninh trật tự vùng đồng bào dân tộc thiểu số và miền núi</t>
  </si>
  <si>
    <t>Liên minh HTX</t>
  </si>
  <si>
    <t>Sở Thông tin Truyền thông</t>
  </si>
  <si>
    <t>Mỗi xã ĐBKK thuộc vùng đồng bào dân tộc thiểu số</t>
  </si>
  <si>
    <r>
      <t>Mỗi thôn ĐBKK không thuộc xã</t>
    </r>
    <r>
      <rPr>
        <b/>
        <sz val="12"/>
        <rFont val="Times New Roman"/>
        <family val="2"/>
      </rPr>
      <t xml:space="preserve"> </t>
    </r>
    <r>
      <rPr>
        <sz val="12"/>
        <rFont val="Times New Roman"/>
        <family val="2"/>
      </rPr>
      <t>khu vực III (Số</t>
    </r>
    <r>
      <rPr>
        <b/>
        <sz val="12"/>
        <rFont val="Times New Roman"/>
        <family val="2"/>
      </rPr>
      <t xml:space="preserve"> </t>
    </r>
    <r>
      <rPr>
        <i/>
        <sz val="12"/>
        <rFont val="Times New Roman"/>
        <family val="2"/>
      </rPr>
      <t>thôn ĐBKK được tính điểm phân bổ vốn không quá 04 thôn/xã ngoài khu vực III)</t>
    </r>
  </si>
  <si>
    <t>Kinh phí NSTW năm 2024 (SNBĐXH)</t>
  </si>
  <si>
    <t>Chi tiết theo Biểu 16</t>
  </si>
  <si>
    <t xml:space="preserve"> Chi tiết theo Biểu 17</t>
  </si>
  <si>
    <t>Tổng dự toán giao năm 2024 do Bộ Tài chính thông báo</t>
  </si>
  <si>
    <t>NSTW
(SNKT)</t>
  </si>
  <si>
    <t>Tổng vốn NSTW giao năm 2024 do do Ủy ban dân tộc thông báo tại Công văn số 1733/UBDT-CTMTQG ngày 29/9/2023; số 1829/UBDT-CTMTQG ngày 09/10/2024</t>
  </si>
  <si>
    <t>7=6-5</t>
  </si>
  <si>
    <t>8=9+10</t>
  </si>
  <si>
    <t>11=12+13=4-8</t>
  </si>
  <si>
    <t>12=5-9</t>
  </si>
  <si>
    <t>13=6-10</t>
  </si>
  <si>
    <t>Sự  nghiệp giáo dục đào tạo và dạy nghề</t>
  </si>
  <si>
    <t>Sự nghiệp văn hóa thông tin</t>
  </si>
  <si>
    <t>Sự nghiệp y tế</t>
  </si>
  <si>
    <t>Sự nghiệp bảo đảm xã hội</t>
  </si>
  <si>
    <t>Không được giao vốn</t>
  </si>
  <si>
    <t>Dự kiến phân bổ vốn NSTW năm 2024 theo dự án (trên cơ sở số phân bổ của UBDT và nhu cầu của đơn vị, địa phương)</t>
  </si>
  <si>
    <t>Chênh lệch giữa NSTW và số thông báo của UBDT</t>
  </si>
  <si>
    <t>Kinh phí đối ứng NSĐP năm 2024 (10,925%)</t>
  </si>
  <si>
    <t>Kinh phí đối ứng NSĐP năm 2024 (8,155%)</t>
  </si>
  <si>
    <t>Kinh phí đối ứng NSĐP năm 2024 (5,653%)</t>
  </si>
  <si>
    <t>Đối ứng NSĐP (5,653%)</t>
  </si>
  <si>
    <t>Sở Công Thương</t>
  </si>
  <si>
    <t>Sở Giao thông Vận tải</t>
  </si>
  <si>
    <t>(Kèm theo Báo cáo số:          /BC-UBND ngày          tháng 11 năm 2023 của UBND tỉnh)</t>
  </si>
  <si>
    <t>Phụ lục số 1 -Chương trình DTTS
Biểu 01</t>
  </si>
  <si>
    <t>Phụ lục số 1 -Chương trình DTTS
Biểu 02</t>
  </si>
  <si>
    <t>Phụ lục số 1 - Chương trình DTTS
Biểu 03</t>
  </si>
  <si>
    <t>Phụ lục số 1 - Chương trình DTTS
Biểu 04</t>
  </si>
  <si>
    <t>Phụ lục số 1 - Chương trình DTTS
Biểu 05</t>
  </si>
  <si>
    <t>Phụ lục 1- CHương trình DTTS
Biểu 5.1</t>
  </si>
  <si>
    <t>Phụ lục 1- Chương trình DTTS
Biểu 06</t>
  </si>
  <si>
    <t>Phụ lục 1- Chương trình DTTS
Biểu 07</t>
  </si>
  <si>
    <t>Phụ lục 1- Chương trình DTTS
Biểu 08</t>
  </si>
  <si>
    <t>Phụ lục 1 - Chương trình DTTS
Biểu 09</t>
  </si>
  <si>
    <t>Phụ lục 1 - Chương trình DTTS
Biểu 10</t>
  </si>
  <si>
    <t>Phụ lục 1 - Chương trình DTTS
Biểu 11</t>
  </si>
  <si>
    <t>Phụ lục 1 - Chương trình DTTS
Biểu 12</t>
  </si>
  <si>
    <t>Phụ lục 1 - Chương trình DTTS
Biểu 13</t>
  </si>
  <si>
    <t>Phụ lục 1 - Chương trình DTTS
Biểu 14</t>
  </si>
  <si>
    <t>Phụ lục 1 - Chương trình DTTS
Biểu 15</t>
  </si>
  <si>
    <t>Phụ lục 1 - Chương trình DTTS
Biểu 16</t>
  </si>
  <si>
    <t>Phụ lục 1 - Chương trình DTTS
Biểu 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</si>
</sst>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64" formatCode="_-* #,##0\ _₫_-;\-* #,##0\ _₫_-;_-* &quot;-&quot;\ _₫_-;_-@_-"/>
    <numFmt numFmtId="165" formatCode="_-* #,##0.00\ _₫_-;\-* #,##0.00\ _₫_-;_-* &quot;-&quot;??\ _₫_-;_-@_-"/>
    <numFmt numFmtId="166" formatCode="0.0"/>
    <numFmt numFmtId="167" formatCode="#,##0.0"/>
    <numFmt numFmtId="168" formatCode="#,##0.000"/>
    <numFmt numFmtId="169" formatCode="0.000"/>
    <numFmt numFmtId="170" formatCode="_(* #,##0_);_(* \(#,##0\);_(* &quot;-&quot;??_);_(@_)"/>
    <numFmt numFmtId="171" formatCode="_-* #,##0.0\ _₫_-;\-* #,##0.0\ _₫_-;_-* &quot;-&quot;??\ _₫_-;_-@_-"/>
    <numFmt numFmtId="172" formatCode="_-* #,##0\ _₫_-;\-* #,##0\ _₫_-;_-* &quot;-&quot;??\ _₫_-;_-@_-"/>
    <numFmt numFmtId="173" formatCode="_-* #,##0.000\ _₫_-;\-* #,##0.000\ _₫_-;_-* &quot;-&quot;??\ _₫_-;_-@_-"/>
    <numFmt numFmtId="174" formatCode="0.0%"/>
    <numFmt numFmtId="175" formatCode="#,##0.00_ ;\-#,##0.00\ "/>
    <numFmt numFmtId="176" formatCode="#,##0.0_ ;\-#,##0.0\ "/>
    <numFmt numFmtId="177" formatCode="#,##0_ ;\-#,##0\ "/>
    <numFmt numFmtId="178" formatCode="0.0000%"/>
    <numFmt numFmtId="179" formatCode="0.000%"/>
    <numFmt numFmtId="180" formatCode="#,##0.0000000"/>
    <numFmt numFmtId="181" formatCode="0.000000%"/>
  </numFmts>
  <fonts count="45" x14ac:knownFonts="1">
    <font>
      <sz val="12"/>
      <color theme="1"/>
      <name val="Times New Roman"/>
      <family val="2"/>
    </font>
    <font>
      <sz val="12"/>
      <color theme="1"/>
      <name val="Times New Roman"/>
      <family val="2"/>
      <charset val="163"/>
    </font>
    <font>
      <sz val="12"/>
      <name val="Times New Roman"/>
      <family val="2"/>
    </font>
    <font>
      <b/>
      <sz val="12"/>
      <name val="Times New Roman"/>
      <family val="2"/>
    </font>
    <font>
      <i/>
      <sz val="12"/>
      <name val="Times New Roman"/>
      <family val="2"/>
    </font>
    <font>
      <b/>
      <sz val="12"/>
      <name val="Times New Roman"/>
      <family val="1"/>
    </font>
    <font>
      <sz val="11"/>
      <name val="Times New Roman"/>
      <family val="1"/>
    </font>
    <font>
      <sz val="12"/>
      <name val="Times New Roman"/>
      <family val="1"/>
    </font>
    <font>
      <i/>
      <sz val="12"/>
      <name val="Times New Roman"/>
      <family val="1"/>
    </font>
    <font>
      <sz val="14"/>
      <name val="Times New Roman"/>
      <family val="1"/>
    </font>
    <font>
      <b/>
      <sz val="14"/>
      <name val="Times New Roman"/>
      <family val="1"/>
    </font>
    <font>
      <b/>
      <sz val="14"/>
      <color indexed="8"/>
      <name val="Times New Roman"/>
      <family val="1"/>
    </font>
    <font>
      <sz val="14"/>
      <color indexed="8"/>
      <name val="Times New Roman"/>
      <family val="1"/>
    </font>
    <font>
      <i/>
      <sz val="14"/>
      <color indexed="8"/>
      <name val="Times New Roman"/>
      <family val="1"/>
    </font>
    <font>
      <sz val="12"/>
      <color theme="1"/>
      <name val="Times New Roman"/>
      <family val="2"/>
    </font>
    <font>
      <sz val="11"/>
      <color theme="1"/>
      <name val="Calibri"/>
      <family val="2"/>
      <scheme val="minor"/>
    </font>
    <font>
      <b/>
      <sz val="14"/>
      <color theme="1"/>
      <name val="Times New Roman"/>
      <family val="1"/>
    </font>
    <font>
      <sz val="14"/>
      <color theme="1"/>
      <name val="Times New Roman"/>
      <family val="1"/>
    </font>
    <font>
      <b/>
      <sz val="12"/>
      <color theme="1"/>
      <name val="Times New Roman"/>
      <family val="1"/>
    </font>
    <font>
      <sz val="12"/>
      <color theme="1"/>
      <name val="Times New Roman"/>
      <family val="1"/>
    </font>
    <font>
      <sz val="12"/>
      <color rgb="FF000000"/>
      <name val="Times New Roman"/>
      <family val="1"/>
    </font>
    <font>
      <sz val="14"/>
      <color rgb="FF000000"/>
      <name val="Times New Roman"/>
      <family val="1"/>
    </font>
    <font>
      <sz val="12"/>
      <color rgb="FFFF0000"/>
      <name val="Times New Roman"/>
      <family val="1"/>
    </font>
    <font>
      <i/>
      <sz val="12"/>
      <color theme="1"/>
      <name val="Times New Roman"/>
      <family val="1"/>
    </font>
    <font>
      <b/>
      <sz val="12"/>
      <color rgb="FF000000"/>
      <name val="Times New Roman"/>
      <family val="1"/>
    </font>
    <font>
      <i/>
      <sz val="14"/>
      <color theme="1"/>
      <name val="Times New Roman"/>
      <family val="1"/>
    </font>
    <font>
      <i/>
      <sz val="14"/>
      <name val="Times New Roman"/>
      <family val="1"/>
    </font>
    <font>
      <b/>
      <sz val="13"/>
      <name val="Times New Roman"/>
      <family val="1"/>
    </font>
    <font>
      <sz val="13"/>
      <name val="Times New Roman"/>
      <family val="1"/>
    </font>
    <font>
      <i/>
      <sz val="13"/>
      <name val="Times New Roman"/>
      <family val="1"/>
    </font>
    <font>
      <b/>
      <i/>
      <sz val="13"/>
      <name val="Times New Roman"/>
      <family val="1"/>
    </font>
    <font>
      <b/>
      <sz val="15"/>
      <name val="Times New Roman"/>
      <family val="2"/>
    </font>
    <font>
      <i/>
      <sz val="15"/>
      <name val="Times New Roman"/>
      <family val="2"/>
    </font>
    <font>
      <b/>
      <sz val="11"/>
      <color theme="1"/>
      <name val="Times New Roman"/>
      <family val="1"/>
    </font>
    <font>
      <b/>
      <sz val="11"/>
      <name val="Times New Roman"/>
      <family val="1"/>
    </font>
    <font>
      <sz val="9"/>
      <color rgb="FF000000"/>
      <name val="Arial"/>
      <family val="2"/>
    </font>
    <font>
      <sz val="13"/>
      <color theme="1"/>
      <name val="Times New Roman"/>
      <family val="2"/>
      <charset val="163"/>
    </font>
    <font>
      <sz val="13"/>
      <name val="Times New Roman"/>
      <family val="2"/>
      <charset val="163"/>
    </font>
    <font>
      <sz val="9"/>
      <name val="Times New Roman"/>
      <family val="1"/>
    </font>
    <font>
      <b/>
      <i/>
      <sz val="14"/>
      <name val="Times New Roman"/>
      <family val="1"/>
    </font>
    <font>
      <b/>
      <sz val="12"/>
      <name val="Arial Narrow"/>
      <family val="2"/>
    </font>
    <font>
      <sz val="12"/>
      <name val="Arial Narrow"/>
      <family val="2"/>
    </font>
    <font>
      <b/>
      <i/>
      <sz val="12"/>
      <name val="Times New Roman"/>
      <family val="1"/>
    </font>
    <font>
      <b/>
      <i/>
      <sz val="12"/>
      <color theme="1"/>
      <name val="Times New Roman"/>
      <family val="1"/>
    </font>
    <font>
      <b/>
      <sz val="13"/>
      <color theme="0"/>
      <name val="Times New Roman"/>
      <family val="1"/>
    </font>
  </fonts>
  <fills count="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6" tint="0.79998168889431442"/>
        <bgColor indexed="64"/>
      </patternFill>
    </fill>
  </fills>
  <borders count="22">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s>
  <cellStyleXfs count="11">
    <xf numFmtId="0" fontId="0" fillId="0" borderId="0"/>
    <xf numFmtId="0" fontId="15" fillId="0" borderId="0"/>
    <xf numFmtId="0" fontId="15" fillId="0" borderId="0"/>
    <xf numFmtId="0" fontId="15" fillId="0" borderId="0"/>
    <xf numFmtId="165" fontId="14" fillId="0" borderId="0" applyFont="0" applyFill="0" applyBorder="0" applyAlignment="0" applyProtection="0"/>
    <xf numFmtId="165" fontId="15" fillId="0" borderId="0" applyFont="0" applyFill="0" applyBorder="0" applyAlignment="0" applyProtection="0"/>
    <xf numFmtId="165" fontId="14" fillId="0" borderId="0" applyFont="0" applyFill="0" applyBorder="0" applyAlignment="0" applyProtection="0"/>
    <xf numFmtId="0" fontId="14" fillId="0" borderId="0"/>
    <xf numFmtId="0" fontId="15" fillId="0" borderId="0"/>
    <xf numFmtId="9" fontId="14" fillId="0" borderId="0" applyFont="0" applyFill="0" applyBorder="0" applyAlignment="0" applyProtection="0"/>
    <xf numFmtId="164" fontId="14" fillId="0" borderId="0" applyFont="0" applyFill="0" applyBorder="0" applyAlignment="0" applyProtection="0"/>
  </cellStyleXfs>
  <cellXfs count="874">
    <xf numFmtId="0" fontId="0" fillId="0" borderId="0" xfId="0"/>
    <xf numFmtId="0" fontId="2" fillId="0" borderId="0" xfId="0" applyFont="1" applyFill="1" applyAlignment="1">
      <alignment vertical="center"/>
    </xf>
    <xf numFmtId="0" fontId="3" fillId="0" borderId="0" xfId="0" applyFont="1" applyFill="1" applyAlignment="1">
      <alignment vertical="center"/>
    </xf>
    <xf numFmtId="0" fontId="3" fillId="0" borderId="1" xfId="0" applyFont="1" applyFill="1" applyBorder="1" applyAlignment="1">
      <alignment horizontal="center" vertical="center" wrapText="1"/>
    </xf>
    <xf numFmtId="0" fontId="5" fillId="0" borderId="0" xfId="1" applyFont="1" applyFill="1" applyBorder="1" applyAlignment="1">
      <alignment vertical="center"/>
    </xf>
    <xf numFmtId="0" fontId="5" fillId="0" borderId="0" xfId="1" applyFont="1" applyFill="1" applyBorder="1" applyAlignment="1">
      <alignment horizontal="center" vertical="center"/>
    </xf>
    <xf numFmtId="0" fontId="2" fillId="0" borderId="0" xfId="0" applyFont="1" applyFill="1" applyAlignment="1">
      <alignment horizontal="center" vertical="center"/>
    </xf>
    <xf numFmtId="0" fontId="16" fillId="0" borderId="0" xfId="8" applyFont="1" applyFill="1" applyAlignment="1">
      <alignment horizontal="center" vertical="center" wrapText="1"/>
    </xf>
    <xf numFmtId="0" fontId="17" fillId="0" borderId="0" xfId="8" applyFont="1" applyFill="1" applyAlignment="1">
      <alignment horizontal="center" vertical="center" wrapText="1"/>
    </xf>
    <xf numFmtId="0" fontId="5" fillId="0" borderId="0" xfId="0" applyFont="1" applyFill="1" applyBorder="1" applyAlignment="1">
      <alignment vertical="center" wrapText="1"/>
    </xf>
    <xf numFmtId="0" fontId="18" fillId="0" borderId="4" xfId="8" applyFont="1" applyFill="1" applyBorder="1" applyAlignment="1">
      <alignment horizontal="center" vertical="center" wrapText="1"/>
    </xf>
    <xf numFmtId="0" fontId="5" fillId="0" borderId="4" xfId="8" applyFont="1" applyFill="1" applyBorder="1" applyAlignment="1">
      <alignment horizontal="center" vertical="center" wrapText="1"/>
    </xf>
    <xf numFmtId="0" fontId="18" fillId="0" borderId="0" xfId="8" applyFont="1" applyFill="1" applyAlignment="1">
      <alignment horizontal="center" vertical="center" wrapText="1"/>
    </xf>
    <xf numFmtId="0" fontId="19" fillId="0" borderId="0" xfId="8" applyFont="1" applyFill="1" applyAlignment="1">
      <alignment wrapText="1"/>
    </xf>
    <xf numFmtId="0" fontId="19" fillId="0" borderId="0" xfId="8" applyFont="1" applyAlignment="1">
      <alignment wrapText="1"/>
    </xf>
    <xf numFmtId="0" fontId="7" fillId="0" borderId="0" xfId="0" applyFont="1" applyFill="1" applyAlignment="1">
      <alignment vertical="center"/>
    </xf>
    <xf numFmtId="0" fontId="19" fillId="0" borderId="0" xfId="8" applyFont="1" applyFill="1" applyAlignment="1">
      <alignment vertical="center" wrapText="1"/>
    </xf>
    <xf numFmtId="0" fontId="18" fillId="0" borderId="0" xfId="8" applyFont="1" applyFill="1" applyAlignment="1">
      <alignment vertical="center" wrapText="1"/>
    </xf>
    <xf numFmtId="0" fontId="19" fillId="0" borderId="0" xfId="8" applyFont="1" applyAlignment="1">
      <alignment vertical="center" wrapText="1"/>
    </xf>
    <xf numFmtId="0" fontId="19" fillId="0" borderId="0" xfId="8" applyFont="1" applyFill="1" applyAlignment="1">
      <alignment horizontal="center" vertical="center" wrapText="1"/>
    </xf>
    <xf numFmtId="0" fontId="7" fillId="0" borderId="0" xfId="8" applyFont="1" applyFill="1" applyAlignment="1">
      <alignment vertical="center" wrapText="1"/>
    </xf>
    <xf numFmtId="0" fontId="19" fillId="0" borderId="0" xfId="8" applyFont="1" applyFill="1" applyBorder="1" applyAlignment="1">
      <alignment vertical="center" wrapText="1"/>
    </xf>
    <xf numFmtId="4" fontId="19" fillId="0" borderId="0" xfId="8" applyNumberFormat="1" applyFont="1" applyAlignment="1">
      <alignment horizontal="center" vertical="center" wrapText="1"/>
    </xf>
    <xf numFmtId="1" fontId="5" fillId="0" borderId="0" xfId="1" applyNumberFormat="1" applyFont="1" applyFill="1" applyBorder="1" applyAlignment="1">
      <alignment vertical="center"/>
    </xf>
    <xf numFmtId="4" fontId="5" fillId="0" borderId="0" xfId="1" applyNumberFormat="1" applyFont="1" applyFill="1" applyBorder="1" applyAlignment="1">
      <alignment horizontal="center" vertical="center"/>
    </xf>
    <xf numFmtId="3" fontId="5" fillId="0" borderId="0" xfId="1" applyNumberFormat="1" applyFont="1" applyFill="1" applyBorder="1" applyAlignment="1">
      <alignment horizontal="center" vertical="center"/>
    </xf>
    <xf numFmtId="1" fontId="5" fillId="0" borderId="0" xfId="1" applyNumberFormat="1" applyFont="1" applyFill="1" applyBorder="1" applyAlignment="1">
      <alignment horizontal="center" vertical="center"/>
    </xf>
    <xf numFmtId="1" fontId="7" fillId="0" borderId="0" xfId="0" applyNumberFormat="1" applyFont="1" applyFill="1" applyAlignment="1">
      <alignment vertical="center"/>
    </xf>
    <xf numFmtId="0" fontId="19" fillId="0" borderId="0" xfId="0" applyFont="1"/>
    <xf numFmtId="3" fontId="19" fillId="0" borderId="0" xfId="0" applyNumberFormat="1" applyFont="1"/>
    <xf numFmtId="3" fontId="7" fillId="0" borderId="0" xfId="0" applyNumberFormat="1" applyFont="1" applyFill="1" applyAlignment="1">
      <alignment vertical="center"/>
    </xf>
    <xf numFmtId="3" fontId="5" fillId="0" borderId="0" xfId="1" applyNumberFormat="1" applyFont="1" applyFill="1" applyBorder="1" applyAlignment="1">
      <alignment vertical="center"/>
    </xf>
    <xf numFmtId="3" fontId="17" fillId="0" borderId="0" xfId="8" applyNumberFormat="1" applyFont="1" applyAlignment="1">
      <alignment vertical="center" wrapText="1"/>
    </xf>
    <xf numFmtId="3" fontId="16" fillId="0" borderId="4" xfId="8" applyNumberFormat="1" applyFont="1" applyBorder="1" applyAlignment="1">
      <alignment horizontal="center" vertical="center" wrapText="1"/>
    </xf>
    <xf numFmtId="3" fontId="10" fillId="0" borderId="4" xfId="8" applyNumberFormat="1" applyFont="1" applyBorder="1" applyAlignment="1">
      <alignment horizontal="center" vertical="center" wrapText="1"/>
    </xf>
    <xf numFmtId="3" fontId="16" fillId="0" borderId="4" xfId="8" applyNumberFormat="1" applyFont="1" applyFill="1" applyBorder="1" applyAlignment="1">
      <alignment horizontal="center" vertical="center" wrapText="1"/>
    </xf>
    <xf numFmtId="3" fontId="16" fillId="0" borderId="0" xfId="8" applyNumberFormat="1" applyFont="1" applyAlignment="1">
      <alignment horizontal="center" vertical="center" wrapText="1"/>
    </xf>
    <xf numFmtId="3" fontId="16" fillId="0" borderId="0" xfId="8" applyNumberFormat="1" applyFont="1" applyAlignment="1">
      <alignment vertical="center" wrapText="1"/>
    </xf>
    <xf numFmtId="3" fontId="17" fillId="0" borderId="0" xfId="8" applyNumberFormat="1" applyFont="1" applyAlignment="1">
      <alignment horizontal="center" vertical="center" wrapText="1"/>
    </xf>
    <xf numFmtId="3" fontId="9" fillId="0" borderId="0" xfId="8" applyNumberFormat="1" applyFont="1" applyAlignment="1">
      <alignment vertical="center" wrapText="1"/>
    </xf>
    <xf numFmtId="3" fontId="17" fillId="0" borderId="0" xfId="8" applyNumberFormat="1" applyFont="1" applyFill="1" applyAlignment="1">
      <alignment vertical="center" wrapText="1"/>
    </xf>
    <xf numFmtId="167" fontId="16" fillId="0" borderId="0" xfId="8" applyNumberFormat="1" applyFont="1" applyAlignment="1">
      <alignment horizontal="center" vertical="center" wrapText="1"/>
    </xf>
    <xf numFmtId="167" fontId="17" fillId="0" borderId="0" xfId="8" applyNumberFormat="1" applyFont="1" applyAlignment="1">
      <alignment vertical="center" wrapText="1"/>
    </xf>
    <xf numFmtId="168" fontId="17" fillId="0" borderId="0" xfId="8" applyNumberFormat="1" applyFont="1" applyAlignment="1">
      <alignment vertical="center" wrapText="1"/>
    </xf>
    <xf numFmtId="0" fontId="18" fillId="0" borderId="3" xfId="8" applyFont="1" applyFill="1" applyBorder="1" applyAlignment="1">
      <alignment horizontal="center" vertical="center" wrapText="1"/>
    </xf>
    <xf numFmtId="0" fontId="18" fillId="0" borderId="5" xfId="8" applyFont="1" applyFill="1" applyBorder="1" applyAlignment="1">
      <alignment horizontal="center" vertical="center" wrapText="1"/>
    </xf>
    <xf numFmtId="0" fontId="5" fillId="0" borderId="5" xfId="8" applyFont="1" applyFill="1" applyBorder="1" applyAlignment="1">
      <alignment horizontal="center" vertical="center" wrapText="1"/>
    </xf>
    <xf numFmtId="0" fontId="19" fillId="0" borderId="6" xfId="8" applyFont="1" applyFill="1" applyBorder="1" applyAlignment="1">
      <alignment vertical="center" wrapText="1"/>
    </xf>
    <xf numFmtId="0" fontId="7" fillId="0" borderId="6" xfId="8" applyFont="1" applyFill="1" applyBorder="1" applyAlignment="1">
      <alignment vertical="center" wrapText="1"/>
    </xf>
    <xf numFmtId="0" fontId="19" fillId="0" borderId="0" xfId="8" applyFont="1" applyFill="1" applyAlignment="1">
      <alignment horizontal="center" wrapText="1"/>
    </xf>
    <xf numFmtId="0" fontId="7" fillId="0" borderId="0" xfId="8" applyFont="1" applyFill="1" applyAlignment="1">
      <alignment wrapText="1"/>
    </xf>
    <xf numFmtId="1" fontId="18" fillId="0" borderId="4" xfId="8" applyNumberFormat="1" applyFont="1" applyBorder="1" applyAlignment="1">
      <alignment horizontal="center" vertical="center" wrapText="1"/>
    </xf>
    <xf numFmtId="1" fontId="18" fillId="0" borderId="0" xfId="8" applyNumberFormat="1" applyFont="1" applyAlignment="1">
      <alignment horizontal="center" vertical="center" wrapText="1"/>
    </xf>
    <xf numFmtId="1" fontId="18" fillId="0" borderId="0" xfId="8" applyNumberFormat="1" applyFont="1" applyAlignment="1">
      <alignment horizontal="center" vertical="center"/>
    </xf>
    <xf numFmtId="1" fontId="19" fillId="0" borderId="0" xfId="8" applyNumberFormat="1" applyFont="1" applyAlignment="1">
      <alignment vertical="center"/>
    </xf>
    <xf numFmtId="1" fontId="19" fillId="0" borderId="6" xfId="8" applyNumberFormat="1" applyFont="1" applyBorder="1" applyAlignment="1">
      <alignment vertical="center" wrapText="1"/>
    </xf>
    <xf numFmtId="1" fontId="19" fillId="0" borderId="0" xfId="8" applyNumberFormat="1" applyFont="1" applyAlignment="1">
      <alignment vertical="center" wrapText="1"/>
    </xf>
    <xf numFmtId="0" fontId="19" fillId="0" borderId="0" xfId="8" applyFont="1"/>
    <xf numFmtId="1" fontId="5" fillId="0" borderId="0" xfId="0" applyNumberFormat="1" applyFont="1" applyFill="1" applyBorder="1" applyAlignment="1">
      <alignment vertical="center" wrapText="1"/>
    </xf>
    <xf numFmtId="0" fontId="5" fillId="0" borderId="0" xfId="8" applyFont="1" applyFill="1" applyAlignment="1">
      <alignment horizontal="center" vertical="center" wrapText="1"/>
    </xf>
    <xf numFmtId="0" fontId="7" fillId="0" borderId="0" xfId="8" applyFont="1" applyFill="1" applyAlignment="1">
      <alignment horizontal="center" vertical="center" wrapText="1"/>
    </xf>
    <xf numFmtId="0" fontId="5" fillId="0" borderId="0" xfId="8" applyFont="1" applyFill="1" applyAlignment="1">
      <alignment vertical="center" wrapText="1"/>
    </xf>
    <xf numFmtId="170" fontId="19" fillId="0" borderId="0" xfId="5" applyNumberFormat="1" applyFont="1" applyFill="1" applyAlignment="1">
      <alignment vertical="center" wrapText="1"/>
    </xf>
    <xf numFmtId="0" fontId="7" fillId="0" borderId="0" xfId="8" applyFont="1" applyFill="1"/>
    <xf numFmtId="0" fontId="7" fillId="0" borderId="0" xfId="8" applyFont="1"/>
    <xf numFmtId="0" fontId="5" fillId="0" borderId="4" xfId="0" applyFont="1" applyBorder="1" applyAlignment="1">
      <alignment horizontal="center" vertical="center" wrapText="1"/>
    </xf>
    <xf numFmtId="0" fontId="18" fillId="0" borderId="0" xfId="0" applyFont="1" applyAlignment="1">
      <alignment horizontal="center" vertical="center" wrapText="1"/>
    </xf>
    <xf numFmtId="0" fontId="19" fillId="0" borderId="0" xfId="0" applyFont="1" applyAlignment="1">
      <alignment horizontal="center" vertical="center" wrapText="1"/>
    </xf>
    <xf numFmtId="0" fontId="18" fillId="0" borderId="0" xfId="0" applyFont="1" applyBorder="1" applyAlignment="1">
      <alignment vertical="center" wrapText="1"/>
    </xf>
    <xf numFmtId="0" fontId="18" fillId="0" borderId="4"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Alignment="1">
      <alignment horizontal="center" vertical="center" wrapText="1"/>
    </xf>
    <xf numFmtId="0" fontId="19" fillId="0" borderId="0" xfId="0" applyFont="1" applyFill="1" applyAlignment="1">
      <alignment horizontal="center" vertical="center" wrapText="1"/>
    </xf>
    <xf numFmtId="0" fontId="19" fillId="0" borderId="0" xfId="0" applyFont="1" applyAlignment="1">
      <alignment vertical="center" wrapText="1"/>
    </xf>
    <xf numFmtId="0" fontId="19" fillId="0" borderId="0" xfId="0" applyFont="1" applyFill="1" applyAlignment="1">
      <alignment vertical="center" wrapText="1"/>
    </xf>
    <xf numFmtId="0" fontId="18" fillId="0" borderId="0" xfId="0" applyFont="1" applyFill="1" applyAlignment="1">
      <alignment vertical="center" wrapText="1"/>
    </xf>
    <xf numFmtId="1" fontId="7" fillId="0" borderId="0" xfId="0" applyNumberFormat="1" applyFont="1" applyFill="1" applyAlignment="1">
      <alignment horizontal="center" vertical="center"/>
    </xf>
    <xf numFmtId="167" fontId="7" fillId="0" borderId="0" xfId="8" applyNumberFormat="1" applyFont="1" applyFill="1" applyAlignment="1">
      <alignment vertical="center" wrapText="1"/>
    </xf>
    <xf numFmtId="0" fontId="6" fillId="0" borderId="0" xfId="0" applyFont="1" applyFill="1" applyAlignment="1">
      <alignment vertical="center"/>
    </xf>
    <xf numFmtId="0" fontId="17" fillId="0" borderId="0" xfId="8" applyFont="1" applyFill="1" applyAlignment="1">
      <alignment vertical="center" wrapText="1"/>
    </xf>
    <xf numFmtId="0" fontId="16" fillId="0" borderId="0" xfId="8" applyFont="1" applyFill="1" applyAlignment="1">
      <alignment vertical="center" wrapText="1"/>
    </xf>
    <xf numFmtId="0" fontId="18" fillId="0" borderId="0" xfId="8" applyFont="1" applyAlignment="1">
      <alignment vertical="center" wrapText="1"/>
    </xf>
    <xf numFmtId="0" fontId="16" fillId="0" borderId="0" xfId="8" applyFont="1" applyAlignment="1">
      <alignment vertical="center" wrapText="1"/>
    </xf>
    <xf numFmtId="0" fontId="17" fillId="0" borderId="0" xfId="8" applyFont="1" applyAlignment="1">
      <alignment vertical="center" wrapText="1"/>
    </xf>
    <xf numFmtId="166" fontId="17" fillId="0" borderId="0" xfId="8" applyNumberFormat="1" applyFont="1" applyFill="1" applyAlignment="1">
      <alignment vertical="center" wrapText="1"/>
    </xf>
    <xf numFmtId="0" fontId="9" fillId="0" borderId="0" xfId="8" applyFont="1" applyFill="1" applyAlignment="1">
      <alignment vertical="center" wrapText="1"/>
    </xf>
    <xf numFmtId="4" fontId="9" fillId="0" borderId="0" xfId="8" applyNumberFormat="1" applyFont="1" applyFill="1" applyAlignment="1">
      <alignment vertical="center" wrapText="1"/>
    </xf>
    <xf numFmtId="0" fontId="5" fillId="0" borderId="0" xfId="0" applyFont="1" applyFill="1" applyBorder="1" applyAlignment="1">
      <alignment horizontal="center" vertical="center" wrapText="1"/>
    </xf>
    <xf numFmtId="4" fontId="17" fillId="0" borderId="0" xfId="8" applyNumberFormat="1" applyFont="1" applyFill="1" applyAlignment="1">
      <alignment vertical="center" wrapText="1"/>
    </xf>
    <xf numFmtId="0" fontId="19" fillId="3" borderId="0" xfId="8" applyFont="1" applyFill="1" applyAlignment="1">
      <alignment vertical="center" wrapText="1"/>
    </xf>
    <xf numFmtId="0" fontId="19" fillId="0" borderId="0" xfId="8" applyFont="1" applyFill="1"/>
    <xf numFmtId="0" fontId="18" fillId="0" borderId="0" xfId="8" applyFont="1" applyFill="1" applyAlignment="1">
      <alignment horizontal="center" vertical="center"/>
    </xf>
    <xf numFmtId="167" fontId="19" fillId="0" borderId="0" xfId="8" applyNumberFormat="1" applyFont="1" applyFill="1"/>
    <xf numFmtId="3" fontId="3" fillId="0" borderId="0" xfId="0" applyNumberFormat="1" applyFont="1" applyFill="1" applyAlignment="1">
      <alignment vertical="center"/>
    </xf>
    <xf numFmtId="1" fontId="5" fillId="0" borderId="0" xfId="0" applyNumberFormat="1" applyFont="1" applyFill="1" applyBorder="1" applyAlignment="1">
      <alignment horizontal="center" vertical="center" wrapText="1"/>
    </xf>
    <xf numFmtId="1" fontId="5" fillId="0" borderId="0" xfId="1" applyNumberFormat="1" applyFont="1" applyFill="1" applyBorder="1" applyAlignment="1">
      <alignment horizontal="center" vertical="center"/>
    </xf>
    <xf numFmtId="0" fontId="18" fillId="0" borderId="7" xfId="8" applyFont="1" applyFill="1" applyBorder="1" applyAlignment="1">
      <alignment horizontal="center" vertical="center" wrapText="1"/>
    </xf>
    <xf numFmtId="0" fontId="5" fillId="0" borderId="7" xfId="8" applyFont="1" applyFill="1" applyBorder="1" applyAlignment="1">
      <alignment horizontal="center" vertical="center" wrapText="1"/>
    </xf>
    <xf numFmtId="0" fontId="17" fillId="0" borderId="9" xfId="8" applyFont="1" applyFill="1" applyBorder="1" applyAlignment="1">
      <alignment horizontal="center" vertical="center" wrapText="1"/>
    </xf>
    <xf numFmtId="0" fontId="17" fillId="0" borderId="9" xfId="8" applyFont="1" applyFill="1" applyBorder="1" applyAlignment="1">
      <alignment vertical="center" wrapText="1"/>
    </xf>
    <xf numFmtId="4" fontId="9" fillId="0" borderId="9" xfId="8" applyNumberFormat="1" applyFont="1" applyFill="1" applyBorder="1" applyAlignment="1">
      <alignment vertical="center" wrapText="1"/>
    </xf>
    <xf numFmtId="0" fontId="18" fillId="0" borderId="2" xfId="8" applyFont="1" applyFill="1" applyBorder="1" applyAlignment="1">
      <alignment horizontal="center" vertical="center" wrapText="1"/>
    </xf>
    <xf numFmtId="0" fontId="5" fillId="0" borderId="2" xfId="8" applyFont="1" applyFill="1" applyBorder="1" applyAlignment="1">
      <alignment horizontal="center" vertical="center" wrapText="1"/>
    </xf>
    <xf numFmtId="0" fontId="18" fillId="0" borderId="1" xfId="8" applyFont="1" applyFill="1" applyBorder="1" applyAlignment="1">
      <alignment horizontal="center" vertical="center" wrapText="1"/>
    </xf>
    <xf numFmtId="0" fontId="5" fillId="0" borderId="1" xfId="8" applyFont="1" applyFill="1" applyBorder="1" applyAlignment="1">
      <alignment horizontal="center" vertical="center" wrapText="1"/>
    </xf>
    <xf numFmtId="0" fontId="19" fillId="0" borderId="1" xfId="8" applyFont="1" applyFill="1" applyBorder="1" applyAlignment="1">
      <alignment horizontal="center" vertical="center" wrapText="1"/>
    </xf>
    <xf numFmtId="0" fontId="19" fillId="0" borderId="1" xfId="8" applyFont="1" applyFill="1" applyBorder="1" applyAlignment="1">
      <alignment vertical="center" wrapText="1"/>
    </xf>
    <xf numFmtId="0" fontId="7" fillId="0" borderId="1" xfId="8" applyFont="1" applyFill="1" applyBorder="1" applyAlignment="1">
      <alignment horizontal="center" vertical="center" wrapText="1"/>
    </xf>
    <xf numFmtId="0" fontId="18" fillId="0" borderId="1" xfId="8" applyFont="1" applyBorder="1" applyAlignment="1">
      <alignment horizontal="center" vertical="center" wrapText="1"/>
    </xf>
    <xf numFmtId="0" fontId="18" fillId="0" borderId="1" xfId="8" applyFont="1" applyBorder="1" applyAlignment="1">
      <alignment vertical="center" wrapText="1"/>
    </xf>
    <xf numFmtId="0" fontId="19" fillId="0" borderId="1" xfId="8" applyFont="1" applyBorder="1" applyAlignment="1">
      <alignment horizontal="center" vertical="center" wrapText="1"/>
    </xf>
    <xf numFmtId="0" fontId="19" fillId="0" borderId="1" xfId="8" applyFont="1" applyBorder="1" applyAlignment="1">
      <alignment horizontal="justify" vertical="center" wrapText="1"/>
    </xf>
    <xf numFmtId="0" fontId="19" fillId="0" borderId="1" xfId="8" applyFont="1" applyBorder="1" applyAlignment="1">
      <alignment vertical="center" wrapText="1"/>
    </xf>
    <xf numFmtId="0" fontId="18" fillId="0" borderId="1" xfId="0" applyFont="1" applyBorder="1" applyAlignment="1">
      <alignment horizontal="center" vertical="center" wrapText="1"/>
    </xf>
    <xf numFmtId="0" fontId="18" fillId="0" borderId="1" xfId="0" applyFont="1" applyBorder="1" applyAlignment="1">
      <alignment vertical="center" wrapText="1"/>
    </xf>
    <xf numFmtId="0" fontId="18" fillId="0" borderId="1" xfId="8" applyFont="1" applyFill="1" applyBorder="1" applyAlignment="1">
      <alignment vertical="center" wrapText="1"/>
    </xf>
    <xf numFmtId="0" fontId="18" fillId="0" borderId="2" xfId="8" applyFont="1" applyFill="1" applyBorder="1" applyAlignment="1">
      <alignment vertical="center" wrapText="1"/>
    </xf>
    <xf numFmtId="172" fontId="19" fillId="0" borderId="1" xfId="6" applyNumberFormat="1" applyFont="1" applyBorder="1" applyAlignment="1">
      <alignment horizontal="center" vertical="center" wrapText="1"/>
    </xf>
    <xf numFmtId="49" fontId="20" fillId="0" borderId="1" xfId="6" applyNumberFormat="1" applyFont="1" applyBorder="1" applyAlignment="1">
      <alignment horizontal="justify" vertical="center" wrapText="1"/>
    </xf>
    <xf numFmtId="173" fontId="20" fillId="0" borderId="1" xfId="6" applyNumberFormat="1" applyFont="1" applyBorder="1" applyAlignment="1">
      <alignment horizontal="center" vertical="center" wrapText="1"/>
    </xf>
    <xf numFmtId="0" fontId="19" fillId="3" borderId="1" xfId="8" applyFont="1" applyFill="1" applyBorder="1" applyAlignment="1">
      <alignment horizontal="center" vertical="center" wrapText="1"/>
    </xf>
    <xf numFmtId="49" fontId="20" fillId="3" borderId="1" xfId="6" applyNumberFormat="1" applyFont="1" applyFill="1" applyBorder="1" applyAlignment="1">
      <alignment horizontal="justify" vertical="center" wrapText="1"/>
    </xf>
    <xf numFmtId="165" fontId="20" fillId="3" borderId="1" xfId="6" applyNumberFormat="1" applyFont="1" applyFill="1" applyBorder="1" applyAlignment="1">
      <alignment horizontal="center" vertical="center" wrapText="1"/>
    </xf>
    <xf numFmtId="49" fontId="18" fillId="0" borderId="1" xfId="6" applyNumberFormat="1" applyFont="1" applyFill="1" applyBorder="1" applyAlignment="1">
      <alignment vertical="center" wrapText="1"/>
    </xf>
    <xf numFmtId="173" fontId="18" fillId="0" borderId="1" xfId="6" applyNumberFormat="1" applyFont="1" applyFill="1" applyBorder="1" applyAlignment="1">
      <alignment horizontal="center" vertical="center" wrapText="1"/>
    </xf>
    <xf numFmtId="173" fontId="20" fillId="3" borderId="1" xfId="6" applyNumberFormat="1" applyFont="1" applyFill="1" applyBorder="1" applyAlignment="1">
      <alignment horizontal="center" vertical="center" wrapText="1"/>
    </xf>
    <xf numFmtId="171" fontId="20" fillId="3" borderId="1" xfId="6" applyNumberFormat="1" applyFont="1" applyFill="1" applyBorder="1" applyAlignment="1">
      <alignment horizontal="center" vertical="center" wrapText="1"/>
    </xf>
    <xf numFmtId="172" fontId="24" fillId="0" borderId="1" xfId="6" applyNumberFormat="1" applyFont="1" applyBorder="1" applyAlignment="1">
      <alignment vertical="center" wrapText="1"/>
    </xf>
    <xf numFmtId="3" fontId="19" fillId="0" borderId="1" xfId="8" applyNumberFormat="1" applyFont="1" applyBorder="1" applyAlignment="1">
      <alignment horizontal="center" vertical="center" wrapText="1"/>
    </xf>
    <xf numFmtId="49" fontId="19" fillId="0" borderId="1" xfId="6" applyNumberFormat="1" applyFont="1" applyBorder="1" applyAlignment="1">
      <alignment vertical="center" wrapText="1"/>
    </xf>
    <xf numFmtId="4" fontId="5" fillId="0" borderId="3" xfId="0" applyNumberFormat="1" applyFont="1" applyFill="1" applyBorder="1" applyAlignment="1">
      <alignment horizontal="center" vertical="center" wrapText="1"/>
    </xf>
    <xf numFmtId="1" fontId="7" fillId="0" borderId="2" xfId="0" applyNumberFormat="1" applyFont="1" applyFill="1" applyBorder="1" applyAlignment="1">
      <alignment horizontal="center" vertical="center" wrapText="1"/>
    </xf>
    <xf numFmtId="3" fontId="7" fillId="0" borderId="2" xfId="0" applyNumberFormat="1" applyFont="1" applyFill="1" applyBorder="1" applyAlignment="1">
      <alignment vertical="center" wrapText="1"/>
    </xf>
    <xf numFmtId="3" fontId="7" fillId="0" borderId="1" xfId="0" applyNumberFormat="1" applyFont="1" applyFill="1" applyBorder="1" applyAlignment="1">
      <alignment vertical="center" wrapText="1"/>
    </xf>
    <xf numFmtId="3" fontId="16" fillId="0" borderId="2" xfId="8" applyNumberFormat="1" applyFont="1" applyBorder="1" applyAlignment="1">
      <alignment horizontal="center" vertical="center" wrapText="1"/>
    </xf>
    <xf numFmtId="3" fontId="16" fillId="0" borderId="2" xfId="8" applyNumberFormat="1" applyFont="1" applyBorder="1" applyAlignment="1">
      <alignment vertical="center" wrapText="1"/>
    </xf>
    <xf numFmtId="3" fontId="10" fillId="0" borderId="2" xfId="8" applyNumberFormat="1" applyFont="1" applyBorder="1" applyAlignment="1">
      <alignment horizontal="center" vertical="center" wrapText="1"/>
    </xf>
    <xf numFmtId="3" fontId="16" fillId="0" borderId="2" xfId="8" applyNumberFormat="1" applyFont="1" applyFill="1" applyBorder="1" applyAlignment="1">
      <alignment horizontal="center" vertical="center" wrapText="1"/>
    </xf>
    <xf numFmtId="3" fontId="17" fillId="0" borderId="1" xfId="8" applyNumberFormat="1" applyFont="1" applyBorder="1" applyAlignment="1">
      <alignment horizontal="center" vertical="center" wrapText="1"/>
    </xf>
    <xf numFmtId="3" fontId="21" fillId="0" borderId="1" xfId="8" applyNumberFormat="1" applyFont="1" applyBorder="1" applyAlignment="1">
      <alignment horizontal="justify" vertical="center" wrapText="1"/>
    </xf>
    <xf numFmtId="3" fontId="21" fillId="0" borderId="1" xfId="8" applyNumberFormat="1" applyFont="1" applyBorder="1" applyAlignment="1">
      <alignment horizontal="center" vertical="center" wrapText="1"/>
    </xf>
    <xf numFmtId="3" fontId="17" fillId="2" borderId="1" xfId="8" applyNumberFormat="1" applyFont="1" applyFill="1" applyBorder="1" applyAlignment="1">
      <alignment horizontal="justify" vertical="center" wrapText="1"/>
    </xf>
    <xf numFmtId="167" fontId="17" fillId="2" borderId="1" xfId="8" applyNumberFormat="1" applyFont="1" applyFill="1" applyBorder="1" applyAlignment="1">
      <alignment horizontal="justify" vertical="center" wrapText="1"/>
    </xf>
    <xf numFmtId="167" fontId="17" fillId="0" borderId="1" xfId="8" applyNumberFormat="1" applyFont="1" applyBorder="1" applyAlignment="1">
      <alignment horizontal="center" vertical="center" wrapText="1"/>
    </xf>
    <xf numFmtId="167" fontId="16" fillId="0" borderId="1" xfId="8" applyNumberFormat="1" applyFont="1" applyBorder="1" applyAlignment="1">
      <alignment horizontal="center" vertical="center" wrapText="1"/>
    </xf>
    <xf numFmtId="167" fontId="16" fillId="0" borderId="1" xfId="8" applyNumberFormat="1" applyFont="1" applyBorder="1" applyAlignment="1">
      <alignment vertical="center" wrapText="1"/>
    </xf>
    <xf numFmtId="3" fontId="16" fillId="0" borderId="1" xfId="8" applyNumberFormat="1" applyFont="1" applyBorder="1" applyAlignment="1">
      <alignment horizontal="center" vertical="center" wrapText="1"/>
    </xf>
    <xf numFmtId="3" fontId="16" fillId="0" borderId="1" xfId="8" applyNumberFormat="1" applyFont="1" applyBorder="1" applyAlignment="1">
      <alignment horizontal="left" vertical="center" wrapText="1"/>
    </xf>
    <xf numFmtId="167" fontId="21" fillId="0" borderId="1" xfId="8" applyNumberFormat="1" applyFont="1" applyBorder="1" applyAlignment="1">
      <alignment horizontal="center" vertical="center" wrapText="1"/>
    </xf>
    <xf numFmtId="4" fontId="21" fillId="0" borderId="1" xfId="8" applyNumberFormat="1" applyFont="1" applyBorder="1" applyAlignment="1">
      <alignment horizontal="center" vertical="center" wrapText="1"/>
    </xf>
    <xf numFmtId="3" fontId="17" fillId="0" borderId="1" xfId="8" applyNumberFormat="1" applyFont="1" applyBorder="1" applyAlignment="1">
      <alignment vertical="center" wrapText="1"/>
    </xf>
    <xf numFmtId="3" fontId="9" fillId="0" borderId="1" xfId="8" applyNumberFormat="1" applyFont="1" applyBorder="1" applyAlignment="1">
      <alignment vertical="center" wrapText="1"/>
    </xf>
    <xf numFmtId="3" fontId="17" fillId="0" borderId="1" xfId="8" applyNumberFormat="1" applyFont="1" applyFill="1" applyBorder="1" applyAlignment="1">
      <alignment vertical="center" wrapText="1"/>
    </xf>
    <xf numFmtId="3" fontId="16" fillId="0" borderId="1" xfId="8" applyNumberFormat="1" applyFont="1" applyBorder="1" applyAlignment="1">
      <alignment vertical="center" wrapText="1"/>
    </xf>
    <xf numFmtId="3" fontId="10" fillId="0" borderId="1" xfId="8" applyNumberFormat="1" applyFont="1" applyBorder="1" applyAlignment="1">
      <alignment vertical="center" wrapText="1"/>
    </xf>
    <xf numFmtId="0" fontId="16" fillId="0" borderId="1" xfId="0" applyFont="1" applyBorder="1" applyAlignment="1">
      <alignment horizontal="center" vertical="center" wrapText="1"/>
    </xf>
    <xf numFmtId="0" fontId="16" fillId="0" borderId="1" xfId="0" applyFont="1" applyBorder="1" applyAlignment="1">
      <alignment vertical="center" wrapText="1"/>
    </xf>
    <xf numFmtId="3" fontId="17" fillId="0" borderId="1" xfId="8" applyNumberFormat="1" applyFont="1" applyBorder="1" applyAlignment="1">
      <alignment horizontal="left" vertical="center" wrapText="1"/>
    </xf>
    <xf numFmtId="10" fontId="19" fillId="0" borderId="0" xfId="9" applyNumberFormat="1" applyFont="1" applyFill="1" applyAlignment="1">
      <alignment wrapText="1"/>
    </xf>
    <xf numFmtId="49" fontId="19" fillId="0" borderId="1" xfId="8" applyNumberFormat="1" applyFont="1" applyFill="1" applyBorder="1" applyAlignment="1">
      <alignment vertical="center" wrapText="1"/>
    </xf>
    <xf numFmtId="49" fontId="20" fillId="0" borderId="1" xfId="8" applyNumberFormat="1" applyFont="1" applyFill="1" applyBorder="1" applyAlignment="1">
      <alignment vertical="center" wrapText="1"/>
    </xf>
    <xf numFmtId="49" fontId="18" fillId="0" borderId="1" xfId="8" applyNumberFormat="1" applyFont="1" applyFill="1" applyBorder="1" applyAlignment="1">
      <alignment vertical="center" wrapText="1"/>
    </xf>
    <xf numFmtId="1" fontId="18" fillId="0" borderId="2" xfId="8" applyNumberFormat="1" applyFont="1" applyBorder="1" applyAlignment="1">
      <alignment horizontal="center" vertical="center" wrapText="1"/>
    </xf>
    <xf numFmtId="1" fontId="19" fillId="0" borderId="1" xfId="8" applyNumberFormat="1" applyFont="1" applyBorder="1" applyAlignment="1">
      <alignment horizontal="center" vertical="center" wrapText="1"/>
    </xf>
    <xf numFmtId="1" fontId="20" fillId="0" borderId="1" xfId="8" applyNumberFormat="1" applyFont="1" applyBorder="1" applyAlignment="1">
      <alignment horizontal="center" vertical="center" wrapText="1"/>
    </xf>
    <xf numFmtId="1" fontId="18" fillId="0" borderId="1" xfId="8" applyNumberFormat="1" applyFont="1" applyBorder="1" applyAlignment="1">
      <alignment horizontal="center" vertical="center" wrapText="1"/>
    </xf>
    <xf numFmtId="1" fontId="18" fillId="0" borderId="1" xfId="8" applyNumberFormat="1" applyFont="1" applyBorder="1" applyAlignment="1">
      <alignment horizontal="center" vertical="center"/>
    </xf>
    <xf numFmtId="169" fontId="19" fillId="0" borderId="1" xfId="8" applyNumberFormat="1" applyFont="1" applyBorder="1" applyAlignment="1">
      <alignment horizontal="center" vertical="center"/>
    </xf>
    <xf numFmtId="1" fontId="19" fillId="0" borderId="1" xfId="8" applyNumberFormat="1" applyFont="1" applyBorder="1" applyAlignment="1">
      <alignment horizontal="center" vertical="center"/>
    </xf>
    <xf numFmtId="1" fontId="19" fillId="0" borderId="1" xfId="8" applyNumberFormat="1" applyFont="1" applyBorder="1" applyAlignment="1">
      <alignment vertical="center"/>
    </xf>
    <xf numFmtId="1" fontId="18" fillId="0" borderId="12" xfId="8" applyNumberFormat="1" applyFont="1" applyBorder="1" applyAlignment="1">
      <alignment horizontal="center" vertical="center"/>
    </xf>
    <xf numFmtId="1" fontId="18" fillId="0" borderId="12" xfId="8" applyNumberFormat="1" applyFont="1" applyBorder="1" applyAlignment="1">
      <alignment horizontal="center" vertical="center" wrapText="1"/>
    </xf>
    <xf numFmtId="3" fontId="18" fillId="0" borderId="12" xfId="8" applyNumberFormat="1" applyFont="1" applyBorder="1" applyAlignment="1">
      <alignment horizontal="center" vertical="center" wrapText="1"/>
    </xf>
    <xf numFmtId="1" fontId="19" fillId="0" borderId="12" xfId="8" applyNumberFormat="1" applyFont="1" applyBorder="1" applyAlignment="1">
      <alignment vertical="center" wrapText="1"/>
    </xf>
    <xf numFmtId="1" fontId="18" fillId="0" borderId="2" xfId="8" applyNumberFormat="1" applyFont="1" applyBorder="1" applyAlignment="1">
      <alignment vertical="center" wrapText="1"/>
    </xf>
    <xf numFmtId="1" fontId="20" fillId="0" borderId="1" xfId="8" applyNumberFormat="1" applyFont="1" applyBorder="1" applyAlignment="1">
      <alignment vertical="center" wrapText="1"/>
    </xf>
    <xf numFmtId="1" fontId="18" fillId="0" borderId="1" xfId="8" applyNumberFormat="1" applyFont="1" applyBorder="1" applyAlignment="1">
      <alignment vertical="center"/>
    </xf>
    <xf numFmtId="1" fontId="18" fillId="0" borderId="12" xfId="8" applyNumberFormat="1" applyFont="1" applyBorder="1" applyAlignment="1">
      <alignment vertical="center" wrapText="1"/>
    </xf>
    <xf numFmtId="3" fontId="19" fillId="0" borderId="1" xfId="6" applyNumberFormat="1" applyFont="1" applyBorder="1" applyAlignment="1">
      <alignment vertical="center" wrapText="1"/>
    </xf>
    <xf numFmtId="3" fontId="18" fillId="0" borderId="1" xfId="6" applyNumberFormat="1" applyFont="1" applyBorder="1" applyAlignment="1">
      <alignment vertical="center"/>
    </xf>
    <xf numFmtId="3" fontId="19" fillId="0" borderId="1" xfId="6" applyNumberFormat="1" applyFont="1" applyBorder="1" applyAlignment="1">
      <alignment vertical="center"/>
    </xf>
    <xf numFmtId="3" fontId="18" fillId="0" borderId="1" xfId="6" applyNumberFormat="1" applyFont="1" applyBorder="1" applyAlignment="1">
      <alignment vertical="center" wrapText="1"/>
    </xf>
    <xf numFmtId="1" fontId="18" fillId="0" borderId="0" xfId="8" applyNumberFormat="1" applyFont="1" applyAlignment="1">
      <alignment vertical="center"/>
    </xf>
    <xf numFmtId="0" fontId="5" fillId="0" borderId="1" xfId="8" applyFont="1" applyFill="1" applyBorder="1" applyAlignment="1">
      <alignment vertical="center" wrapText="1"/>
    </xf>
    <xf numFmtId="0" fontId="7" fillId="0" borderId="1" xfId="8" applyFont="1" applyFill="1" applyBorder="1" applyAlignment="1">
      <alignment vertical="center" wrapText="1"/>
    </xf>
    <xf numFmtId="0" fontId="7" fillId="0" borderId="1" xfId="8" quotePrefix="1" applyFont="1" applyFill="1" applyBorder="1" applyAlignment="1">
      <alignment vertical="center" wrapText="1"/>
    </xf>
    <xf numFmtId="166" fontId="5" fillId="0" borderId="1" xfId="8" applyNumberFormat="1" applyFont="1" applyFill="1" applyBorder="1" applyAlignment="1">
      <alignment vertical="center" wrapText="1"/>
    </xf>
    <xf numFmtId="166" fontId="7" fillId="0" borderId="1" xfId="8" applyNumberFormat="1" applyFont="1" applyFill="1" applyBorder="1" applyAlignment="1">
      <alignment vertical="center" wrapText="1"/>
    </xf>
    <xf numFmtId="0" fontId="5" fillId="0" borderId="1" xfId="8" applyFont="1" applyFill="1" applyBorder="1" applyAlignment="1">
      <alignment horizontal="center" vertical="center"/>
    </xf>
    <xf numFmtId="0" fontId="7" fillId="0" borderId="1" xfId="8" applyFont="1" applyFill="1" applyBorder="1" applyAlignment="1">
      <alignment horizontal="center" vertical="center"/>
    </xf>
    <xf numFmtId="3" fontId="5" fillId="0" borderId="1" xfId="8" applyNumberFormat="1" applyFont="1" applyFill="1" applyBorder="1" applyAlignment="1">
      <alignment vertical="center" wrapText="1"/>
    </xf>
    <xf numFmtId="3" fontId="7" fillId="0" borderId="1" xfId="8" applyNumberFormat="1" applyFont="1" applyFill="1" applyBorder="1" applyAlignment="1">
      <alignment vertical="center" wrapText="1"/>
    </xf>
    <xf numFmtId="0" fontId="3" fillId="0" borderId="1" xfId="0" applyFont="1" applyFill="1" applyBorder="1" applyAlignment="1">
      <alignment horizontal="center" vertical="center"/>
    </xf>
    <xf numFmtId="0" fontId="18" fillId="0" borderId="0" xfId="8" applyFont="1" applyBorder="1" applyAlignment="1">
      <alignment vertical="center" wrapText="1"/>
    </xf>
    <xf numFmtId="0" fontId="23" fillId="0" borderId="0" xfId="8" applyFont="1" applyBorder="1" applyAlignment="1">
      <alignment vertical="center" wrapText="1"/>
    </xf>
    <xf numFmtId="0" fontId="7" fillId="0" borderId="0" xfId="0" applyFont="1" applyAlignment="1">
      <alignment vertical="center" wrapText="1"/>
    </xf>
    <xf numFmtId="0" fontId="22" fillId="0" borderId="0" xfId="0" applyFont="1" applyAlignment="1">
      <alignment vertical="center" wrapText="1"/>
    </xf>
    <xf numFmtId="0" fontId="18" fillId="0" borderId="0" xfId="0" applyFont="1" applyAlignment="1">
      <alignment vertical="center"/>
    </xf>
    <xf numFmtId="0" fontId="5" fillId="0" borderId="2" xfId="0" applyFont="1" applyBorder="1" applyAlignment="1">
      <alignment horizontal="center" vertical="center" wrapText="1"/>
    </xf>
    <xf numFmtId="0" fontId="5" fillId="0" borderId="2" xfId="0" applyFont="1" applyBorder="1" applyAlignment="1">
      <alignment vertical="center" wrapText="1"/>
    </xf>
    <xf numFmtId="0" fontId="7" fillId="0" borderId="1" xfId="0" applyFont="1" applyBorder="1" applyAlignment="1">
      <alignment horizontal="center" vertical="center" wrapText="1"/>
    </xf>
    <xf numFmtId="3" fontId="7" fillId="0" borderId="1" xfId="0" applyNumberFormat="1" applyFont="1" applyBorder="1" applyAlignment="1">
      <alignment vertical="center" wrapText="1"/>
    </xf>
    <xf numFmtId="0" fontId="5" fillId="0" borderId="1" xfId="0" applyFont="1" applyBorder="1" applyAlignment="1">
      <alignment horizontal="center" vertical="center" wrapText="1"/>
    </xf>
    <xf numFmtId="0" fontId="5" fillId="0" borderId="1" xfId="0" applyFont="1" applyBorder="1" applyAlignment="1">
      <alignment vertical="center" wrapText="1"/>
    </xf>
    <xf numFmtId="3" fontId="5" fillId="0" borderId="1" xfId="0" applyNumberFormat="1" applyFont="1" applyBorder="1" applyAlignment="1">
      <alignment vertical="center" wrapText="1"/>
    </xf>
    <xf numFmtId="0" fontId="5" fillId="0" borderId="1" xfId="0" applyFont="1" applyBorder="1" applyAlignment="1">
      <alignment horizontal="center" vertical="center"/>
    </xf>
    <xf numFmtId="3" fontId="5" fillId="0" borderId="1" xfId="0" applyNumberFormat="1" applyFont="1" applyFill="1" applyBorder="1" applyAlignment="1">
      <alignment vertical="center" wrapText="1"/>
    </xf>
    <xf numFmtId="0" fontId="7" fillId="0" borderId="1" xfId="0" applyFont="1" applyBorder="1" applyAlignment="1">
      <alignment horizontal="center" vertical="center"/>
    </xf>
    <xf numFmtId="0" fontId="18" fillId="0" borderId="2" xfId="0" applyFont="1" applyFill="1" applyBorder="1" applyAlignment="1">
      <alignment horizontal="center" vertical="center" wrapText="1"/>
    </xf>
    <xf numFmtId="0" fontId="18" fillId="0" borderId="2" xfId="0" applyFont="1" applyFill="1" applyBorder="1" applyAlignment="1">
      <alignment vertical="center" wrapText="1"/>
    </xf>
    <xf numFmtId="0" fontId="19" fillId="0" borderId="1" xfId="0" applyFont="1" applyFill="1" applyBorder="1" applyAlignment="1">
      <alignment horizontal="center" vertical="center" wrapText="1"/>
    </xf>
    <xf numFmtId="0" fontId="19" fillId="0" borderId="1" xfId="0" applyFont="1" applyFill="1" applyBorder="1" applyAlignment="1">
      <alignment vertical="center" wrapText="1"/>
    </xf>
    <xf numFmtId="3" fontId="19" fillId="0" borderId="1" xfId="0" applyNumberFormat="1" applyFont="1" applyFill="1" applyBorder="1" applyAlignment="1">
      <alignment vertical="center" wrapText="1"/>
    </xf>
    <xf numFmtId="3" fontId="18" fillId="0" borderId="1" xfId="0" applyNumberFormat="1" applyFont="1" applyFill="1" applyBorder="1" applyAlignment="1">
      <alignment vertical="center" wrapText="1"/>
    </xf>
    <xf numFmtId="0" fontId="20" fillId="0" borderId="1" xfId="0" applyFont="1" applyFill="1" applyBorder="1" applyAlignment="1">
      <alignment vertical="center" wrapText="1"/>
    </xf>
    <xf numFmtId="0" fontId="20" fillId="0" borderId="1" xfId="0" applyFont="1" applyFill="1" applyBorder="1" applyAlignment="1">
      <alignment horizontal="center" vertical="center" wrapText="1"/>
    </xf>
    <xf numFmtId="3" fontId="18" fillId="0" borderId="1" xfId="0" applyNumberFormat="1" applyFont="1" applyBorder="1" applyAlignment="1">
      <alignment vertical="center" wrapText="1"/>
    </xf>
    <xf numFmtId="3" fontId="19" fillId="0" borderId="1" xfId="0" applyNumberFormat="1" applyFont="1" applyBorder="1" applyAlignment="1">
      <alignment vertical="center" wrapText="1"/>
    </xf>
    <xf numFmtId="0" fontId="18" fillId="0" borderId="1" xfId="0" applyFont="1" applyFill="1" applyBorder="1" applyAlignment="1">
      <alignment horizontal="center" vertical="center" wrapText="1"/>
    </xf>
    <xf numFmtId="0" fontId="18" fillId="0" borderId="0" xfId="8" applyFont="1" applyFill="1"/>
    <xf numFmtId="3" fontId="19" fillId="0" borderId="0" xfId="8" applyNumberFormat="1" applyFont="1" applyFill="1"/>
    <xf numFmtId="3" fontId="18" fillId="0" borderId="2" xfId="8" applyNumberFormat="1" applyFont="1" applyFill="1" applyBorder="1" applyAlignment="1">
      <alignment horizontal="center" vertical="center" wrapText="1"/>
    </xf>
    <xf numFmtId="0" fontId="20" fillId="0" borderId="1" xfId="8" applyFont="1" applyFill="1" applyBorder="1" applyAlignment="1">
      <alignment vertical="center" wrapText="1"/>
    </xf>
    <xf numFmtId="0" fontId="20" fillId="0" borderId="1" xfId="8" applyFont="1" applyFill="1" applyBorder="1" applyAlignment="1">
      <alignment horizontal="center" vertical="center" wrapText="1"/>
    </xf>
    <xf numFmtId="3" fontId="19" fillId="0" borderId="1" xfId="8" applyNumberFormat="1" applyFont="1" applyFill="1" applyBorder="1" applyAlignment="1">
      <alignment vertical="center" wrapText="1"/>
    </xf>
    <xf numFmtId="0" fontId="18" fillId="0" borderId="1" xfId="8" applyFont="1" applyFill="1" applyBorder="1" applyAlignment="1">
      <alignment horizontal="center" vertical="center"/>
    </xf>
    <xf numFmtId="0" fontId="18" fillId="0" borderId="1" xfId="8" applyFont="1" applyFill="1" applyBorder="1" applyAlignment="1">
      <alignment vertical="center"/>
    </xf>
    <xf numFmtId="3" fontId="18" fillId="0" borderId="1" xfId="8" applyNumberFormat="1" applyFont="1" applyFill="1" applyBorder="1" applyAlignment="1">
      <alignment vertical="center"/>
    </xf>
    <xf numFmtId="0" fontId="19" fillId="0" borderId="1" xfId="8" applyFont="1" applyFill="1" applyBorder="1" applyAlignment="1">
      <alignment horizontal="center" vertical="center"/>
    </xf>
    <xf numFmtId="3" fontId="19" fillId="0" borderId="1" xfId="8" applyNumberFormat="1" applyFont="1" applyFill="1" applyBorder="1" applyAlignment="1">
      <alignment vertical="center"/>
    </xf>
    <xf numFmtId="3" fontId="18" fillId="0" borderId="1" xfId="8" applyNumberFormat="1" applyFont="1" applyFill="1" applyBorder="1" applyAlignment="1">
      <alignment vertical="center" wrapText="1"/>
    </xf>
    <xf numFmtId="0" fontId="9" fillId="0" borderId="0" xfId="0" applyFont="1" applyFill="1" applyAlignment="1">
      <alignment vertical="center" wrapText="1"/>
    </xf>
    <xf numFmtId="0" fontId="9" fillId="0" borderId="0" xfId="0" applyFont="1" applyFill="1" applyBorder="1" applyAlignment="1">
      <alignment horizontal="center" vertical="center" wrapText="1"/>
    </xf>
    <xf numFmtId="0" fontId="27" fillId="0" borderId="0" xfId="0" applyFont="1" applyFill="1" applyAlignment="1">
      <alignment vertical="center" wrapText="1"/>
    </xf>
    <xf numFmtId="0" fontId="27" fillId="0" borderId="4" xfId="0" applyFont="1" applyFill="1" applyBorder="1" applyAlignment="1">
      <alignment horizontal="center" vertical="center" wrapText="1"/>
    </xf>
    <xf numFmtId="0" fontId="27" fillId="0" borderId="0" xfId="0" applyFont="1" applyFill="1" applyAlignment="1">
      <alignment horizontal="center" vertical="center" wrapText="1"/>
    </xf>
    <xf numFmtId="0" fontId="28" fillId="0" borderId="0" xfId="0" applyFont="1" applyFill="1" applyAlignment="1">
      <alignment horizontal="center" vertical="center" wrapText="1"/>
    </xf>
    <xf numFmtId="0" fontId="27" fillId="0" borderId="1" xfId="0" applyFont="1" applyFill="1" applyBorder="1" applyAlignment="1">
      <alignment horizontal="center" vertical="center" wrapText="1"/>
    </xf>
    <xf numFmtId="0" fontId="27" fillId="0" borderId="1" xfId="0" applyFont="1" applyFill="1" applyBorder="1" applyAlignment="1">
      <alignment horizontal="left" vertical="center" wrapText="1"/>
    </xf>
    <xf numFmtId="0" fontId="27" fillId="0" borderId="1" xfId="0" applyFont="1" applyFill="1" applyBorder="1" applyAlignment="1">
      <alignment horizontal="right" vertical="center" wrapText="1"/>
    </xf>
    <xf numFmtId="0" fontId="28" fillId="0" borderId="1" xfId="0" applyFont="1" applyFill="1" applyBorder="1" applyAlignment="1">
      <alignment horizontal="center" vertical="center" wrapText="1"/>
    </xf>
    <xf numFmtId="0" fontId="28" fillId="0" borderId="1" xfId="0" applyFont="1" applyFill="1" applyBorder="1" applyAlignment="1">
      <alignment vertical="center" wrapText="1"/>
    </xf>
    <xf numFmtId="0" fontId="28" fillId="0" borderId="1" xfId="0" applyFont="1" applyFill="1" applyBorder="1" applyAlignment="1">
      <alignment horizontal="right" vertical="center" wrapText="1"/>
    </xf>
    <xf numFmtId="0" fontId="28" fillId="0" borderId="0" xfId="0" applyFont="1" applyFill="1" applyAlignment="1">
      <alignment vertical="center" wrapText="1"/>
    </xf>
    <xf numFmtId="0" fontId="28" fillId="0" borderId="12" xfId="0" applyFont="1" applyFill="1" applyBorder="1" applyAlignment="1">
      <alignment horizontal="center" vertical="center" wrapText="1"/>
    </xf>
    <xf numFmtId="0" fontId="28" fillId="0" borderId="12" xfId="0" applyFont="1" applyFill="1" applyBorder="1" applyAlignment="1">
      <alignment vertical="center" wrapText="1"/>
    </xf>
    <xf numFmtId="0" fontId="28" fillId="0" borderId="12" xfId="0" applyFont="1" applyFill="1" applyBorder="1" applyAlignment="1">
      <alignment horizontal="right" vertical="center" wrapText="1"/>
    </xf>
    <xf numFmtId="0" fontId="27" fillId="0" borderId="0" xfId="0" applyFont="1" applyFill="1" applyBorder="1" applyAlignment="1">
      <alignment horizontal="center" vertical="center" wrapText="1"/>
    </xf>
    <xf numFmtId="0" fontId="28" fillId="0" borderId="0" xfId="0" applyFont="1" applyFill="1" applyBorder="1" applyAlignment="1">
      <alignment horizontal="left" vertical="center" wrapText="1"/>
    </xf>
    <xf numFmtId="0" fontId="28" fillId="0" borderId="1" xfId="0" applyFont="1" applyFill="1" applyBorder="1" applyAlignment="1">
      <alignment horizontal="left" vertical="center" wrapText="1"/>
    </xf>
    <xf numFmtId="1" fontId="28" fillId="0" borderId="1" xfId="0" applyNumberFormat="1" applyFont="1" applyFill="1" applyBorder="1" applyAlignment="1">
      <alignment horizontal="right" vertical="center" wrapText="1"/>
    </xf>
    <xf numFmtId="0" fontId="27" fillId="0" borderId="0" xfId="0" applyFont="1" applyFill="1" applyBorder="1" applyAlignment="1">
      <alignment horizontal="left" vertical="center" wrapText="1"/>
    </xf>
    <xf numFmtId="3" fontId="28" fillId="0" borderId="1" xfId="0" applyNumberFormat="1" applyFont="1" applyFill="1" applyBorder="1" applyAlignment="1">
      <alignment vertical="center" wrapText="1"/>
    </xf>
    <xf numFmtId="3" fontId="28" fillId="0" borderId="12" xfId="0" applyNumberFormat="1" applyFont="1" applyFill="1" applyBorder="1" applyAlignment="1">
      <alignment vertical="center" wrapText="1"/>
    </xf>
    <xf numFmtId="4" fontId="28" fillId="0" borderId="12" xfId="0" applyNumberFormat="1" applyFont="1" applyFill="1" applyBorder="1" applyAlignment="1">
      <alignment vertical="center" wrapText="1"/>
    </xf>
    <xf numFmtId="3" fontId="27" fillId="0" borderId="0" xfId="0" applyNumberFormat="1" applyFont="1" applyFill="1" applyAlignment="1">
      <alignment vertical="center" wrapText="1"/>
    </xf>
    <xf numFmtId="3" fontId="27" fillId="0" borderId="1" xfId="0" applyNumberFormat="1" applyFont="1" applyFill="1" applyBorder="1" applyAlignment="1">
      <alignment vertical="center" wrapText="1"/>
    </xf>
    <xf numFmtId="172" fontId="7" fillId="0" borderId="0" xfId="6" applyNumberFormat="1" applyFont="1" applyFill="1" applyBorder="1" applyAlignment="1">
      <alignment vertical="center"/>
    </xf>
    <xf numFmtId="172" fontId="5" fillId="0" borderId="0" xfId="6" applyNumberFormat="1" applyFont="1" applyFill="1" applyBorder="1" applyAlignment="1">
      <alignment vertical="center"/>
    </xf>
    <xf numFmtId="0" fontId="27" fillId="0" borderId="0" xfId="0" applyFont="1" applyFill="1" applyBorder="1" applyAlignment="1">
      <alignment vertical="center" wrapText="1"/>
    </xf>
    <xf numFmtId="0" fontId="7" fillId="0" borderId="1" xfId="0" applyFont="1" applyFill="1" applyBorder="1" applyAlignment="1">
      <alignment vertical="center" wrapText="1"/>
    </xf>
    <xf numFmtId="0" fontId="28" fillId="0" borderId="0" xfId="0" applyFont="1" applyFill="1" applyBorder="1" applyAlignment="1">
      <alignment vertical="center" wrapText="1"/>
    </xf>
    <xf numFmtId="0" fontId="7" fillId="0" borderId="12" xfId="0" applyFont="1" applyFill="1" applyBorder="1" applyAlignment="1">
      <alignment vertical="center" wrapText="1"/>
    </xf>
    <xf numFmtId="0" fontId="9" fillId="0" borderId="0" xfId="0" applyFont="1" applyFill="1" applyAlignment="1">
      <alignment horizontal="center" vertical="center" wrapText="1"/>
    </xf>
    <xf numFmtId="3" fontId="9" fillId="0" borderId="0" xfId="0" applyNumberFormat="1" applyFont="1" applyFill="1" applyAlignment="1">
      <alignment vertical="center" wrapText="1"/>
    </xf>
    <xf numFmtId="172" fontId="7" fillId="0" borderId="0" xfId="0" applyNumberFormat="1" applyFont="1" applyFill="1" applyAlignment="1">
      <alignment vertical="center"/>
    </xf>
    <xf numFmtId="172" fontId="27" fillId="0" borderId="0" xfId="6" applyNumberFormat="1" applyFont="1" applyFill="1" applyBorder="1" applyAlignment="1">
      <alignment horizontal="right" vertical="center" wrapText="1"/>
    </xf>
    <xf numFmtId="9" fontId="27" fillId="0" borderId="0" xfId="9" applyNumberFormat="1" applyFont="1" applyFill="1" applyBorder="1" applyAlignment="1">
      <alignment horizontal="right" vertical="center" wrapText="1"/>
    </xf>
    <xf numFmtId="171" fontId="27" fillId="0" borderId="0" xfId="6" applyNumberFormat="1" applyFont="1" applyFill="1" applyBorder="1" applyAlignment="1">
      <alignment horizontal="right" vertical="center" wrapText="1"/>
    </xf>
    <xf numFmtId="176" fontId="27" fillId="0" borderId="0" xfId="6" applyNumberFormat="1" applyFont="1" applyFill="1" applyBorder="1" applyAlignment="1">
      <alignment horizontal="right" vertical="center" wrapText="1"/>
    </xf>
    <xf numFmtId="9" fontId="28" fillId="0" borderId="0" xfId="0" applyNumberFormat="1" applyFont="1" applyFill="1" applyBorder="1" applyAlignment="1">
      <alignment horizontal="center" vertical="center" wrapText="1"/>
    </xf>
    <xf numFmtId="0" fontId="28" fillId="0" borderId="0" xfId="0" applyFont="1" applyFill="1" applyBorder="1" applyAlignment="1">
      <alignment horizontal="right" vertical="center" wrapText="1"/>
    </xf>
    <xf numFmtId="174" fontId="28" fillId="0" borderId="0" xfId="0" applyNumberFormat="1" applyFont="1" applyFill="1" applyBorder="1" applyAlignment="1">
      <alignment horizontal="center" vertical="center" wrapText="1"/>
    </xf>
    <xf numFmtId="175" fontId="28" fillId="0" borderId="0" xfId="0" applyNumberFormat="1" applyFont="1" applyFill="1" applyBorder="1" applyAlignment="1">
      <alignment horizontal="right" vertical="center" wrapText="1"/>
    </xf>
    <xf numFmtId="0" fontId="28" fillId="0" borderId="0" xfId="0" applyFont="1" applyFill="1" applyBorder="1" applyAlignment="1">
      <alignment horizontal="center" vertical="center" wrapText="1"/>
    </xf>
    <xf numFmtId="1" fontId="28" fillId="0" borderId="0" xfId="0" applyNumberFormat="1" applyFont="1" applyFill="1" applyBorder="1" applyAlignment="1">
      <alignment horizontal="right" vertical="center" wrapText="1"/>
    </xf>
    <xf numFmtId="10" fontId="27" fillId="0" borderId="0" xfId="9" applyNumberFormat="1" applyFont="1" applyFill="1" applyBorder="1" applyAlignment="1">
      <alignment horizontal="right" vertical="center" wrapText="1"/>
    </xf>
    <xf numFmtId="172" fontId="5" fillId="0" borderId="2" xfId="6" applyNumberFormat="1" applyFont="1" applyFill="1" applyBorder="1" applyAlignment="1">
      <alignment horizontal="right" vertical="center" wrapText="1"/>
    </xf>
    <xf numFmtId="9" fontId="5" fillId="0" borderId="2" xfId="9" applyNumberFormat="1" applyFont="1" applyFill="1" applyBorder="1" applyAlignment="1">
      <alignment horizontal="right" vertical="center" wrapText="1"/>
    </xf>
    <xf numFmtId="172" fontId="7" fillId="0" borderId="1" xfId="6" applyNumberFormat="1" applyFont="1" applyFill="1" applyBorder="1" applyAlignment="1">
      <alignment horizontal="right" vertical="center" wrapText="1"/>
    </xf>
    <xf numFmtId="174" fontId="28" fillId="0" borderId="1" xfId="9" applyNumberFormat="1" applyFont="1" applyFill="1" applyBorder="1" applyAlignment="1">
      <alignment horizontal="right" vertical="center" wrapText="1"/>
    </xf>
    <xf numFmtId="1" fontId="28" fillId="0" borderId="1" xfId="0" applyNumberFormat="1" applyFont="1" applyFill="1" applyBorder="1" applyAlignment="1">
      <alignment vertical="center" wrapText="1"/>
    </xf>
    <xf numFmtId="9" fontId="28" fillId="0" borderId="1" xfId="9" applyFont="1" applyFill="1" applyBorder="1" applyAlignment="1">
      <alignment horizontal="right" vertical="center" wrapText="1"/>
    </xf>
    <xf numFmtId="0" fontId="28" fillId="0" borderId="12" xfId="0" applyFont="1" applyFill="1" applyBorder="1" applyAlignment="1">
      <alignment horizontal="left" vertical="center" wrapText="1"/>
    </xf>
    <xf numFmtId="172" fontId="7" fillId="0" borderId="12" xfId="6" applyNumberFormat="1" applyFont="1" applyFill="1" applyBorder="1" applyAlignment="1">
      <alignment horizontal="right" vertical="center" wrapText="1"/>
    </xf>
    <xf numFmtId="9" fontId="28" fillId="0" borderId="12" xfId="9" applyFont="1" applyFill="1" applyBorder="1" applyAlignment="1">
      <alignment horizontal="right" vertical="center" wrapText="1"/>
    </xf>
    <xf numFmtId="1" fontId="28" fillId="0" borderId="12" xfId="0" applyNumberFormat="1" applyFont="1" applyFill="1" applyBorder="1" applyAlignment="1">
      <alignment vertical="center" wrapText="1"/>
    </xf>
    <xf numFmtId="1" fontId="28" fillId="0" borderId="12" xfId="0" applyNumberFormat="1" applyFont="1" applyFill="1" applyBorder="1" applyAlignment="1">
      <alignment horizontal="right" vertical="center" wrapText="1"/>
    </xf>
    <xf numFmtId="0" fontId="5" fillId="0" borderId="0" xfId="0" applyFont="1" applyFill="1" applyAlignment="1">
      <alignment vertical="center" wrapText="1"/>
    </xf>
    <xf numFmtId="0" fontId="5" fillId="0" borderId="4" xfId="0" applyFont="1" applyFill="1" applyBorder="1" applyAlignment="1">
      <alignment horizontal="center" vertical="center" wrapText="1"/>
    </xf>
    <xf numFmtId="3" fontId="27" fillId="0" borderId="0" xfId="0" applyNumberFormat="1" applyFont="1" applyFill="1" applyBorder="1" applyAlignment="1">
      <alignment vertical="center" wrapText="1"/>
    </xf>
    <xf numFmtId="3" fontId="28" fillId="0" borderId="0" xfId="0" applyNumberFormat="1" applyFont="1" applyFill="1" applyBorder="1" applyAlignment="1">
      <alignment vertical="center" wrapText="1"/>
    </xf>
    <xf numFmtId="9" fontId="7" fillId="0" borderId="2" xfId="9" applyFont="1" applyFill="1" applyBorder="1" applyAlignment="1">
      <alignment horizontal="right" vertical="center" wrapText="1"/>
    </xf>
    <xf numFmtId="0" fontId="10" fillId="0" borderId="0" xfId="1" applyFont="1" applyFill="1" applyBorder="1" applyAlignment="1">
      <alignment vertical="center"/>
    </xf>
    <xf numFmtId="0" fontId="10" fillId="0" borderId="0" xfId="1" applyFont="1" applyFill="1" applyBorder="1" applyAlignment="1">
      <alignment horizontal="center" vertical="center"/>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9" fillId="0" borderId="0" xfId="0" applyFont="1" applyFill="1" applyAlignment="1">
      <alignment vertical="center"/>
    </xf>
    <xf numFmtId="0" fontId="9" fillId="0" borderId="0" xfId="0" applyFont="1" applyFill="1" applyAlignment="1">
      <alignment horizontal="center" vertical="center"/>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3" fontId="10" fillId="0" borderId="0" xfId="0" applyNumberFormat="1" applyFont="1" applyFill="1" applyAlignment="1">
      <alignment vertical="center"/>
    </xf>
    <xf numFmtId="0" fontId="10" fillId="0" borderId="0" xfId="0" applyFont="1" applyFill="1" applyAlignment="1">
      <alignment vertical="center"/>
    </xf>
    <xf numFmtId="0" fontId="10" fillId="0" borderId="1" xfId="0" applyFont="1" applyFill="1" applyBorder="1" applyAlignment="1">
      <alignment vertical="center" wrapText="1"/>
    </xf>
    <xf numFmtId="0" fontId="9" fillId="0" borderId="1" xfId="0" applyFont="1" applyFill="1" applyBorder="1" applyAlignment="1">
      <alignment horizontal="center" vertical="center"/>
    </xf>
    <xf numFmtId="0" fontId="9" fillId="0" borderId="1" xfId="0" applyFont="1" applyFill="1" applyBorder="1" applyAlignment="1">
      <alignment vertical="center" wrapText="1"/>
    </xf>
    <xf numFmtId="0" fontId="9" fillId="0" borderId="1" xfId="0" quotePrefix="1" applyFont="1" applyFill="1" applyBorder="1" applyAlignment="1">
      <alignment horizontal="center" vertical="center"/>
    </xf>
    <xf numFmtId="0" fontId="9" fillId="0" borderId="1" xfId="0" applyFont="1" applyFill="1" applyBorder="1" applyAlignment="1">
      <alignment horizontal="left" vertical="center" wrapText="1"/>
    </xf>
    <xf numFmtId="3" fontId="9" fillId="0" borderId="0" xfId="0" applyNumberFormat="1" applyFont="1" applyFill="1" applyAlignment="1">
      <alignment horizontal="center" vertical="center"/>
    </xf>
    <xf numFmtId="0" fontId="26" fillId="0" borderId="1" xfId="0" applyFont="1" applyFill="1" applyBorder="1" applyAlignment="1">
      <alignment horizontal="center" vertical="center"/>
    </xf>
    <xf numFmtId="0" fontId="26" fillId="0" borderId="1" xfId="0" applyFont="1" applyFill="1" applyBorder="1" applyAlignment="1">
      <alignment vertical="center" wrapText="1"/>
    </xf>
    <xf numFmtId="0" fontId="26" fillId="0" borderId="0" xfId="0" applyFont="1" applyFill="1" applyAlignment="1">
      <alignment vertical="center"/>
    </xf>
    <xf numFmtId="0" fontId="9" fillId="0" borderId="12" xfId="0" applyFont="1" applyFill="1" applyBorder="1" applyAlignment="1">
      <alignment horizontal="center" vertical="center"/>
    </xf>
    <xf numFmtId="0" fontId="9" fillId="0" borderId="12" xfId="0" applyFont="1" applyFill="1" applyBorder="1" applyAlignment="1">
      <alignment vertical="center" wrapText="1"/>
    </xf>
    <xf numFmtId="0" fontId="2" fillId="0" borderId="0" xfId="0" applyFont="1" applyFill="1" applyAlignment="1">
      <alignment horizontal="center" vertical="center" wrapText="1"/>
    </xf>
    <xf numFmtId="0" fontId="3" fillId="0" borderId="2" xfId="0" applyFont="1" applyFill="1" applyBorder="1" applyAlignment="1">
      <alignment horizontal="center" vertical="center"/>
    </xf>
    <xf numFmtId="3" fontId="3" fillId="0" borderId="0" xfId="0" applyNumberFormat="1" applyFont="1" applyFill="1" applyAlignment="1">
      <alignment horizontal="center" vertical="center"/>
    </xf>
    <xf numFmtId="3" fontId="2" fillId="0" borderId="0" xfId="0" applyNumberFormat="1" applyFont="1" applyFill="1" applyAlignment="1">
      <alignment vertical="center"/>
    </xf>
    <xf numFmtId="0" fontId="2" fillId="0" borderId="1" xfId="0" applyFont="1" applyFill="1" applyBorder="1" applyAlignment="1">
      <alignment horizontal="center" vertical="center" wrapText="1"/>
    </xf>
    <xf numFmtId="3" fontId="2" fillId="0" borderId="1" xfId="6" applyNumberFormat="1" applyFont="1" applyFill="1" applyBorder="1" applyAlignment="1">
      <alignment vertical="center"/>
    </xf>
    <xf numFmtId="172" fontId="2" fillId="0" borderId="0" xfId="0" applyNumberFormat="1" applyFont="1" applyFill="1" applyAlignment="1">
      <alignment vertical="center"/>
    </xf>
    <xf numFmtId="0" fontId="2" fillId="0" borderId="12" xfId="0" applyFont="1" applyFill="1" applyBorder="1" applyAlignment="1">
      <alignment horizontal="center" vertical="center" wrapText="1"/>
    </xf>
    <xf numFmtId="3" fontId="2" fillId="0" borderId="12" xfId="6" applyNumberFormat="1" applyFont="1" applyFill="1" applyBorder="1" applyAlignment="1">
      <alignment vertical="center"/>
    </xf>
    <xf numFmtId="1" fontId="2" fillId="0" borderId="0" xfId="0" applyNumberFormat="1" applyFont="1" applyFill="1" applyAlignment="1">
      <alignment vertical="center"/>
    </xf>
    <xf numFmtId="3" fontId="2" fillId="0" borderId="0" xfId="0" applyNumberFormat="1" applyFont="1" applyFill="1" applyBorder="1" applyAlignment="1">
      <alignment vertical="center"/>
    </xf>
    <xf numFmtId="3" fontId="9" fillId="0" borderId="1" xfId="6" applyNumberFormat="1" applyFont="1" applyFill="1" applyBorder="1" applyAlignment="1">
      <alignment vertical="center"/>
    </xf>
    <xf numFmtId="0" fontId="10" fillId="0" borderId="1" xfId="0" applyFont="1" applyFill="1" applyBorder="1" applyAlignment="1">
      <alignment vertical="center"/>
    </xf>
    <xf numFmtId="172" fontId="9" fillId="0" borderId="1" xfId="6" applyNumberFormat="1" applyFont="1" applyFill="1" applyBorder="1" applyAlignment="1">
      <alignment vertical="center"/>
    </xf>
    <xf numFmtId="3" fontId="10" fillId="0" borderId="1" xfId="6" applyNumberFormat="1" applyFont="1" applyFill="1" applyBorder="1" applyAlignment="1">
      <alignment vertical="center"/>
    </xf>
    <xf numFmtId="3" fontId="26" fillId="0" borderId="1" xfId="6" applyNumberFormat="1" applyFont="1" applyFill="1" applyBorder="1" applyAlignment="1">
      <alignment vertical="center"/>
    </xf>
    <xf numFmtId="3" fontId="9" fillId="0" borderId="12" xfId="6" applyNumberFormat="1" applyFont="1" applyFill="1" applyBorder="1" applyAlignment="1">
      <alignment vertical="center"/>
    </xf>
    <xf numFmtId="10" fontId="19" fillId="0" borderId="0" xfId="9" applyNumberFormat="1" applyFont="1" applyFill="1"/>
    <xf numFmtId="172" fontId="10" fillId="0" borderId="0" xfId="6" applyNumberFormat="1" applyFont="1" applyFill="1" applyAlignment="1">
      <alignment vertical="center"/>
    </xf>
    <xf numFmtId="178" fontId="10" fillId="0" borderId="0" xfId="9" applyNumberFormat="1" applyFont="1" applyFill="1" applyAlignment="1">
      <alignment vertical="center"/>
    </xf>
    <xf numFmtId="1" fontId="5" fillId="0" borderId="0" xfId="1" applyNumberFormat="1" applyFont="1" applyFill="1" applyBorder="1" applyAlignment="1">
      <alignment horizontal="center" vertical="center"/>
    </xf>
    <xf numFmtId="1" fontId="5" fillId="0" borderId="4" xfId="8" applyNumberFormat="1" applyFont="1" applyBorder="1" applyAlignment="1">
      <alignment horizontal="center" vertical="center" wrapText="1"/>
    </xf>
    <xf numFmtId="1" fontId="5" fillId="0" borderId="0" xfId="8" applyNumberFormat="1" applyFont="1" applyAlignment="1">
      <alignment horizontal="center" vertical="center" wrapText="1"/>
    </xf>
    <xf numFmtId="1" fontId="5" fillId="0" borderId="2" xfId="8" applyNumberFormat="1" applyFont="1" applyBorder="1" applyAlignment="1">
      <alignment horizontal="center" vertical="center" wrapText="1"/>
    </xf>
    <xf numFmtId="1" fontId="7" fillId="0" borderId="1" xfId="8" applyNumberFormat="1" applyFont="1" applyBorder="1" applyAlignment="1">
      <alignment horizontal="center" vertical="center" wrapText="1"/>
    </xf>
    <xf numFmtId="3" fontId="7" fillId="0" borderId="1" xfId="6" applyNumberFormat="1" applyFont="1" applyBorder="1" applyAlignment="1">
      <alignment vertical="center" wrapText="1"/>
    </xf>
    <xf numFmtId="1" fontId="5" fillId="0" borderId="1" xfId="8" applyNumberFormat="1" applyFont="1" applyBorder="1" applyAlignment="1">
      <alignment horizontal="center" vertical="center"/>
    </xf>
    <xf numFmtId="3" fontId="5" fillId="0" borderId="1" xfId="6" applyNumberFormat="1" applyFont="1" applyBorder="1" applyAlignment="1">
      <alignment vertical="center"/>
    </xf>
    <xf numFmtId="1" fontId="5" fillId="0" borderId="0" xfId="8" applyNumberFormat="1" applyFont="1" applyAlignment="1">
      <alignment horizontal="center" vertical="center"/>
    </xf>
    <xf numFmtId="1" fontId="7" fillId="0" borderId="1" xfId="8" applyNumberFormat="1" applyFont="1" applyBorder="1" applyAlignment="1">
      <alignment horizontal="center" vertical="center"/>
    </xf>
    <xf numFmtId="3" fontId="7" fillId="0" borderId="1" xfId="6" applyNumberFormat="1" applyFont="1" applyBorder="1" applyAlignment="1">
      <alignment vertical="center"/>
    </xf>
    <xf numFmtId="1" fontId="7" fillId="0" borderId="0" xfId="8" applyNumberFormat="1" applyFont="1" applyAlignment="1">
      <alignment vertical="center"/>
    </xf>
    <xf numFmtId="166" fontId="7" fillId="0" borderId="1" xfId="8" applyNumberFormat="1" applyFont="1" applyBorder="1" applyAlignment="1">
      <alignment horizontal="center" vertical="center"/>
    </xf>
    <xf numFmtId="1" fontId="5" fillId="0" borderId="1" xfId="8" applyNumberFormat="1" applyFont="1" applyBorder="1" applyAlignment="1">
      <alignment horizontal="center" vertical="center" wrapText="1"/>
    </xf>
    <xf numFmtId="3" fontId="5" fillId="0" borderId="1" xfId="6" applyNumberFormat="1" applyFont="1" applyBorder="1" applyAlignment="1">
      <alignment vertical="center" wrapText="1"/>
    </xf>
    <xf numFmtId="1" fontId="5" fillId="0" borderId="0" xfId="8" applyNumberFormat="1" applyFont="1" applyAlignment="1">
      <alignment vertical="center"/>
    </xf>
    <xf numFmtId="3" fontId="7" fillId="0" borderId="1" xfId="6" applyNumberFormat="1" applyFont="1" applyFill="1" applyBorder="1" applyAlignment="1">
      <alignment vertical="center" wrapText="1"/>
    </xf>
    <xf numFmtId="172" fontId="5" fillId="0" borderId="1" xfId="6" applyNumberFormat="1" applyFont="1" applyBorder="1" applyAlignment="1">
      <alignment vertical="center" wrapText="1"/>
    </xf>
    <xf numFmtId="172" fontId="7" fillId="0" borderId="1" xfId="6" applyNumberFormat="1" applyFont="1" applyBorder="1" applyAlignment="1">
      <alignment vertical="center" wrapText="1"/>
    </xf>
    <xf numFmtId="0" fontId="3" fillId="0" borderId="4" xfId="0" applyFont="1" applyFill="1" applyBorder="1" applyAlignment="1">
      <alignment horizontal="center" vertical="center" wrapText="1"/>
    </xf>
    <xf numFmtId="0" fontId="5" fillId="0" borderId="0" xfId="1" applyFont="1" applyFill="1" applyBorder="1" applyAlignment="1">
      <alignment horizontal="center" vertical="center"/>
    </xf>
    <xf numFmtId="1" fontId="7" fillId="0" borderId="2" xfId="0" applyNumberFormat="1" applyFont="1" applyFill="1" applyBorder="1" applyAlignment="1">
      <alignment vertical="center" wrapText="1"/>
    </xf>
    <xf numFmtId="3" fontId="5" fillId="0" borderId="0" xfId="1" applyNumberFormat="1" applyFont="1" applyFill="1" applyBorder="1" applyAlignment="1">
      <alignment horizontal="center" vertical="center"/>
    </xf>
    <xf numFmtId="1" fontId="5" fillId="0" borderId="0" xfId="1" applyNumberFormat="1" applyFont="1" applyFill="1" applyBorder="1" applyAlignment="1">
      <alignment horizontal="center" vertical="center"/>
    </xf>
    <xf numFmtId="0" fontId="5" fillId="0" borderId="4" xfId="0" applyFont="1" applyFill="1" applyBorder="1" applyAlignment="1">
      <alignment horizontal="center" vertical="center" wrapText="1"/>
    </xf>
    <xf numFmtId="0" fontId="33" fillId="0" borderId="4" xfId="8" applyFont="1" applyFill="1" applyBorder="1" applyAlignment="1">
      <alignment horizontal="center" vertical="center" wrapText="1"/>
    </xf>
    <xf numFmtId="0" fontId="34" fillId="0" borderId="4" xfId="8" applyFont="1" applyFill="1" applyBorder="1" applyAlignment="1">
      <alignment horizontal="center" vertical="center" wrapText="1"/>
    </xf>
    <xf numFmtId="3" fontId="5" fillId="0" borderId="0" xfId="8" applyNumberFormat="1" applyFont="1" applyAlignment="1">
      <alignment horizontal="center" vertical="center" wrapText="1"/>
    </xf>
    <xf numFmtId="167" fontId="5" fillId="0" borderId="0" xfId="8" applyNumberFormat="1" applyFont="1" applyAlignment="1">
      <alignment horizontal="center" vertical="center" wrapText="1"/>
    </xf>
    <xf numFmtId="167" fontId="7" fillId="0" borderId="0" xfId="8" applyNumberFormat="1" applyFont="1" applyAlignment="1">
      <alignment vertical="center" wrapText="1"/>
    </xf>
    <xf numFmtId="3" fontId="7" fillId="0" borderId="0" xfId="8" applyNumberFormat="1" applyFont="1" applyAlignment="1">
      <alignment vertical="center" wrapText="1"/>
    </xf>
    <xf numFmtId="3" fontId="5" fillId="0" borderId="0" xfId="8" applyNumberFormat="1" applyFont="1" applyAlignment="1">
      <alignment vertical="center" wrapText="1"/>
    </xf>
    <xf numFmtId="3" fontId="34" fillId="0" borderId="0" xfId="8" applyNumberFormat="1" applyFont="1" applyAlignment="1">
      <alignment horizontal="center" vertical="center" wrapText="1"/>
    </xf>
    <xf numFmtId="3" fontId="34" fillId="0" borderId="4" xfId="8" applyNumberFormat="1" applyFont="1" applyBorder="1" applyAlignment="1">
      <alignment horizontal="center" vertical="center" wrapText="1"/>
    </xf>
    <xf numFmtId="3" fontId="34" fillId="0" borderId="3" xfId="8" applyNumberFormat="1" applyFont="1" applyBorder="1" applyAlignment="1">
      <alignment horizontal="center" vertical="center" wrapText="1"/>
    </xf>
    <xf numFmtId="3" fontId="5" fillId="0" borderId="2" xfId="8" applyNumberFormat="1" applyFont="1" applyBorder="1" applyAlignment="1">
      <alignment horizontal="center" vertical="center" wrapText="1"/>
    </xf>
    <xf numFmtId="3" fontId="7" fillId="0" borderId="1" xfId="8" applyNumberFormat="1" applyFont="1" applyBorder="1" applyAlignment="1">
      <alignment horizontal="justify" vertical="center" wrapText="1"/>
    </xf>
    <xf numFmtId="3" fontId="7" fillId="2" borderId="1" xfId="8" applyNumberFormat="1" applyFont="1" applyFill="1" applyBorder="1" applyAlignment="1">
      <alignment horizontal="justify" vertical="center" wrapText="1"/>
    </xf>
    <xf numFmtId="167" fontId="7" fillId="2" borderId="1" xfId="8" applyNumberFormat="1" applyFont="1" applyFill="1" applyBorder="1" applyAlignment="1">
      <alignment horizontal="justify" vertical="center" wrapText="1"/>
    </xf>
    <xf numFmtId="167" fontId="7" fillId="0" borderId="1" xfId="8" applyNumberFormat="1" applyFont="1" applyBorder="1" applyAlignment="1">
      <alignment horizontal="center" vertical="center" wrapText="1"/>
    </xf>
    <xf numFmtId="167" fontId="5" fillId="0" borderId="1" xfId="8" applyNumberFormat="1" applyFont="1" applyBorder="1" applyAlignment="1">
      <alignment horizontal="center" vertical="center" wrapText="1"/>
    </xf>
    <xf numFmtId="4" fontId="7" fillId="0" borderId="1" xfId="8" applyNumberFormat="1" applyFont="1" applyBorder="1" applyAlignment="1">
      <alignment horizontal="center" vertical="center" wrapText="1"/>
    </xf>
    <xf numFmtId="3" fontId="5" fillId="0" borderId="1" xfId="8" applyNumberFormat="1" applyFont="1" applyBorder="1" applyAlignment="1">
      <alignment horizontal="center" vertical="center" wrapText="1"/>
    </xf>
    <xf numFmtId="3" fontId="5" fillId="0" borderId="1" xfId="8" applyNumberFormat="1" applyFont="1" applyBorder="1" applyAlignment="1">
      <alignment horizontal="left" vertical="center" wrapText="1"/>
    </xf>
    <xf numFmtId="3" fontId="7" fillId="0" borderId="1" xfId="8" applyNumberFormat="1" applyFont="1" applyBorder="1" applyAlignment="1">
      <alignment vertical="center" wrapText="1"/>
    </xf>
    <xf numFmtId="167" fontId="5" fillId="0" borderId="1" xfId="8" applyNumberFormat="1" applyFont="1" applyBorder="1" applyAlignment="1">
      <alignment vertical="center" wrapText="1"/>
    </xf>
    <xf numFmtId="3" fontId="5" fillId="0" borderId="1" xfId="8" applyNumberFormat="1" applyFont="1" applyBorder="1" applyAlignment="1">
      <alignment vertical="center" wrapText="1"/>
    </xf>
    <xf numFmtId="4" fontId="7" fillId="3" borderId="2" xfId="0"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1" xfId="0" applyFont="1" applyFill="1" applyBorder="1" applyAlignment="1">
      <alignment vertical="center" wrapText="1"/>
    </xf>
    <xf numFmtId="4" fontId="7" fillId="3" borderId="1" xfId="0" applyNumberFormat="1" applyFont="1" applyFill="1" applyBorder="1" applyAlignment="1">
      <alignment horizontal="center" vertical="center" wrapText="1"/>
    </xf>
    <xf numFmtId="4" fontId="7" fillId="3" borderId="1" xfId="0" applyNumberFormat="1" applyFont="1" applyFill="1" applyBorder="1" applyAlignment="1">
      <alignment horizontal="left" vertical="center" wrapText="1"/>
    </xf>
    <xf numFmtId="3" fontId="7" fillId="3" borderId="1" xfId="0" applyNumberFormat="1" applyFont="1" applyFill="1" applyBorder="1" applyAlignment="1">
      <alignment horizontal="center" vertical="center" wrapText="1"/>
    </xf>
    <xf numFmtId="3" fontId="7" fillId="3" borderId="1" xfId="0" applyNumberFormat="1" applyFont="1" applyFill="1" applyBorder="1" applyAlignment="1">
      <alignment horizontal="left" vertical="center" wrapText="1"/>
    </xf>
    <xf numFmtId="4" fontId="7" fillId="3" borderId="12" xfId="0" applyNumberFormat="1" applyFont="1" applyFill="1" applyBorder="1" applyAlignment="1">
      <alignment horizontal="center" vertical="center" wrapText="1"/>
    </xf>
    <xf numFmtId="4" fontId="7" fillId="3" borderId="2" xfId="0" applyNumberFormat="1" applyFont="1" applyFill="1" applyBorder="1" applyAlignment="1">
      <alignment horizontal="right" vertical="center" wrapText="1"/>
    </xf>
    <xf numFmtId="4" fontId="7" fillId="3" borderId="1" xfId="0" applyNumberFormat="1" applyFont="1" applyFill="1" applyBorder="1" applyAlignment="1">
      <alignment horizontal="right" vertical="center" wrapText="1"/>
    </xf>
    <xf numFmtId="0" fontId="7" fillId="3" borderId="1" xfId="0" applyFont="1" applyFill="1" applyBorder="1" applyAlignment="1">
      <alignment horizontal="left" vertical="center" wrapText="1"/>
    </xf>
    <xf numFmtId="4" fontId="7" fillId="3" borderId="12" xfId="0" applyNumberFormat="1" applyFont="1" applyFill="1" applyBorder="1" applyAlignment="1">
      <alignment horizontal="right" vertical="center" wrapText="1"/>
    </xf>
    <xf numFmtId="3" fontId="7" fillId="3" borderId="1" xfId="6" applyNumberFormat="1" applyFont="1" applyFill="1" applyBorder="1" applyAlignment="1">
      <alignment vertical="center"/>
    </xf>
    <xf numFmtId="3" fontId="7" fillId="3" borderId="1" xfId="0" applyNumberFormat="1" applyFont="1" applyFill="1" applyBorder="1" applyAlignment="1">
      <alignment vertical="center"/>
    </xf>
    <xf numFmtId="3" fontId="7" fillId="3" borderId="1" xfId="0" applyNumberFormat="1" applyFont="1" applyFill="1" applyBorder="1" applyAlignment="1">
      <alignment vertical="center" wrapText="1"/>
    </xf>
    <xf numFmtId="3" fontId="7" fillId="3" borderId="1" xfId="6" applyNumberFormat="1" applyFont="1" applyFill="1" applyBorder="1" applyAlignment="1">
      <alignment vertical="center" wrapText="1"/>
    </xf>
    <xf numFmtId="3" fontId="19" fillId="0" borderId="1" xfId="6" applyNumberFormat="1" applyFont="1" applyFill="1" applyBorder="1" applyAlignment="1">
      <alignment vertical="center" wrapText="1"/>
    </xf>
    <xf numFmtId="3" fontId="36" fillId="3" borderId="12" xfId="0" applyNumberFormat="1" applyFont="1" applyFill="1" applyBorder="1" applyAlignment="1">
      <alignment vertical="center"/>
    </xf>
    <xf numFmtId="9" fontId="7" fillId="3" borderId="1" xfId="9" applyFont="1" applyFill="1" applyBorder="1" applyAlignment="1">
      <alignment vertical="center" wrapText="1"/>
    </xf>
    <xf numFmtId="179" fontId="19" fillId="0" borderId="0" xfId="9" applyNumberFormat="1" applyFont="1"/>
    <xf numFmtId="3" fontId="5" fillId="0" borderId="2" xfId="8" applyNumberFormat="1" applyFont="1" applyBorder="1" applyAlignment="1">
      <alignment vertical="center" wrapText="1"/>
    </xf>
    <xf numFmtId="172" fontId="19" fillId="0" borderId="0" xfId="6" applyNumberFormat="1" applyFont="1" applyFill="1" applyAlignment="1">
      <alignment wrapText="1"/>
    </xf>
    <xf numFmtId="172" fontId="19" fillId="0" borderId="0" xfId="8" applyNumberFormat="1" applyFont="1" applyFill="1" applyAlignment="1">
      <alignment wrapText="1"/>
    </xf>
    <xf numFmtId="179" fontId="19" fillId="0" borderId="0" xfId="9" applyNumberFormat="1" applyFont="1" applyFill="1" applyAlignment="1">
      <alignment wrapText="1"/>
    </xf>
    <xf numFmtId="0" fontId="18" fillId="0" borderId="4" xfId="8" applyFont="1" applyBorder="1" applyAlignment="1">
      <alignment horizontal="center" vertical="center" wrapText="1"/>
    </xf>
    <xf numFmtId="0" fontId="18" fillId="0" borderId="0" xfId="8" applyFont="1" applyAlignment="1">
      <alignment horizontal="center" vertical="center" wrapText="1"/>
    </xf>
    <xf numFmtId="0" fontId="18" fillId="0" borderId="2" xfId="8" applyFont="1" applyBorder="1" applyAlignment="1">
      <alignment horizontal="center" vertical="center" wrapText="1"/>
    </xf>
    <xf numFmtId="0" fontId="18" fillId="0" borderId="2" xfId="8" applyFont="1" applyBorder="1" applyAlignment="1">
      <alignment vertical="center" wrapText="1"/>
    </xf>
    <xf numFmtId="3" fontId="18" fillId="0" borderId="2" xfId="8" applyNumberFormat="1" applyFont="1" applyBorder="1" applyAlignment="1">
      <alignment horizontal="center" vertical="center" wrapText="1"/>
    </xf>
    <xf numFmtId="0" fontId="20" fillId="0" borderId="1" xfId="8" applyFont="1" applyBorder="1" applyAlignment="1">
      <alignment vertical="center" wrapText="1"/>
    </xf>
    <xf numFmtId="0" fontId="20" fillId="0" borderId="1" xfId="8" applyFont="1" applyBorder="1" applyAlignment="1">
      <alignment horizontal="center" vertical="center" wrapText="1"/>
    </xf>
    <xf numFmtId="3" fontId="19" fillId="0" borderId="1" xfId="8" applyNumberFormat="1" applyFont="1" applyBorder="1" applyAlignment="1">
      <alignment vertical="center" wrapText="1"/>
    </xf>
    <xf numFmtId="0" fontId="18" fillId="0" borderId="1" xfId="8" applyFont="1" applyBorder="1" applyAlignment="1">
      <alignment horizontal="center" vertical="center"/>
    </xf>
    <xf numFmtId="0" fontId="18" fillId="0" borderId="1" xfId="8" applyFont="1" applyBorder="1" applyAlignment="1">
      <alignment vertical="center"/>
    </xf>
    <xf numFmtId="3" fontId="18" fillId="0" borderId="1" xfId="8" applyNumberFormat="1" applyFont="1" applyBorder="1" applyAlignment="1">
      <alignment vertical="center"/>
    </xf>
    <xf numFmtId="0" fontId="18" fillId="0" borderId="0" xfId="8" applyFont="1" applyAlignment="1">
      <alignment horizontal="center" vertical="center"/>
    </xf>
    <xf numFmtId="0" fontId="19" fillId="0" borderId="1" xfId="8" applyFont="1" applyBorder="1" applyAlignment="1">
      <alignment horizontal="center" vertical="center"/>
    </xf>
    <xf numFmtId="3" fontId="19" fillId="0" borderId="1" xfId="8" applyNumberFormat="1" applyFont="1" applyBorder="1" applyAlignment="1">
      <alignment vertical="center"/>
    </xf>
    <xf numFmtId="3" fontId="18" fillId="0" borderId="1" xfId="8" applyNumberFormat="1" applyFont="1" applyBorder="1" applyAlignment="1">
      <alignment vertical="center" wrapText="1"/>
    </xf>
    <xf numFmtId="0" fontId="18" fillId="0" borderId="0" xfId="8" applyFont="1"/>
    <xf numFmtId="1" fontId="19" fillId="0" borderId="0" xfId="8" applyNumberFormat="1" applyFont="1"/>
    <xf numFmtId="0" fontId="19" fillId="0" borderId="6" xfId="8" applyFont="1" applyBorder="1" applyAlignment="1">
      <alignment vertical="center" wrapText="1"/>
    </xf>
    <xf numFmtId="3" fontId="19" fillId="0" borderId="0" xfId="8" applyNumberFormat="1" applyFont="1"/>
    <xf numFmtId="167" fontId="19" fillId="0" borderId="0" xfId="8" applyNumberFormat="1" applyFont="1"/>
    <xf numFmtId="172" fontId="9" fillId="0" borderId="1" xfId="6" applyNumberFormat="1" applyFont="1" applyFill="1" applyBorder="1" applyAlignment="1">
      <alignment vertical="center" wrapText="1"/>
    </xf>
    <xf numFmtId="3" fontId="10" fillId="0" borderId="1" xfId="0" applyNumberFormat="1" applyFont="1" applyFill="1" applyBorder="1" applyAlignment="1">
      <alignment vertical="center" wrapText="1"/>
    </xf>
    <xf numFmtId="3" fontId="9" fillId="0" borderId="1" xfId="0" applyNumberFormat="1" applyFont="1" applyFill="1" applyBorder="1" applyAlignment="1">
      <alignment vertical="center" wrapText="1"/>
    </xf>
    <xf numFmtId="3" fontId="26" fillId="0" borderId="1" xfId="0" applyNumberFormat="1" applyFont="1" applyFill="1" applyBorder="1" applyAlignment="1">
      <alignment vertical="center" wrapText="1"/>
    </xf>
    <xf numFmtId="3" fontId="9" fillId="0" borderId="12" xfId="0" applyNumberFormat="1" applyFont="1" applyFill="1" applyBorder="1" applyAlignment="1">
      <alignment vertical="center" wrapText="1"/>
    </xf>
    <xf numFmtId="0" fontId="18" fillId="4" borderId="1" xfId="0" applyFont="1" applyFill="1" applyBorder="1" applyAlignment="1">
      <alignment horizontal="center" vertical="center" wrapText="1"/>
    </xf>
    <xf numFmtId="0" fontId="18" fillId="4" borderId="1" xfId="0" applyFont="1" applyFill="1" applyBorder="1" applyAlignment="1">
      <alignment vertical="center" wrapText="1"/>
    </xf>
    <xf numFmtId="0" fontId="19" fillId="4" borderId="1" xfId="8" applyFont="1" applyFill="1" applyBorder="1" applyAlignment="1">
      <alignment horizontal="center" vertical="center" wrapText="1"/>
    </xf>
    <xf numFmtId="0" fontId="19" fillId="4" borderId="1" xfId="8" applyFont="1" applyFill="1" applyBorder="1" applyAlignment="1">
      <alignment horizontal="justify" vertical="center" wrapText="1"/>
    </xf>
    <xf numFmtId="0" fontId="19" fillId="4" borderId="1" xfId="8" applyFont="1" applyFill="1" applyBorder="1" applyAlignment="1">
      <alignment vertical="center" wrapText="1"/>
    </xf>
    <xf numFmtId="0" fontId="19" fillId="4" borderId="12" xfId="8" applyFont="1" applyFill="1" applyBorder="1" applyAlignment="1">
      <alignment horizontal="center" vertical="center" wrapText="1"/>
    </xf>
    <xf numFmtId="0" fontId="19" fillId="4" borderId="12" xfId="8" applyFont="1" applyFill="1" applyBorder="1" applyAlignment="1">
      <alignment vertical="center" wrapText="1"/>
    </xf>
    <xf numFmtId="172" fontId="24" fillId="4" borderId="1" xfId="6" applyNumberFormat="1" applyFont="1" applyFill="1" applyBorder="1" applyAlignment="1">
      <alignment vertical="center" wrapText="1"/>
    </xf>
    <xf numFmtId="3" fontId="19" fillId="4" borderId="1" xfId="8" applyNumberFormat="1" applyFont="1" applyFill="1" applyBorder="1" applyAlignment="1">
      <alignment horizontal="center" vertical="center" wrapText="1"/>
    </xf>
    <xf numFmtId="49" fontId="19" fillId="4" borderId="1" xfId="6" applyNumberFormat="1" applyFont="1" applyFill="1" applyBorder="1" applyAlignment="1">
      <alignment vertical="center" wrapText="1"/>
    </xf>
    <xf numFmtId="172" fontId="19" fillId="4" borderId="1" xfId="6" applyNumberFormat="1" applyFont="1" applyFill="1" applyBorder="1" applyAlignment="1">
      <alignment horizontal="center" vertical="center" wrapText="1"/>
    </xf>
    <xf numFmtId="3" fontId="19" fillId="4" borderId="12" xfId="8" applyNumberFormat="1" applyFont="1" applyFill="1" applyBorder="1" applyAlignment="1">
      <alignment horizontal="center" vertical="center" wrapText="1"/>
    </xf>
    <xf numFmtId="49" fontId="19" fillId="4" borderId="12" xfId="6" applyNumberFormat="1" applyFont="1" applyFill="1" applyBorder="1" applyAlignment="1">
      <alignment vertical="center" wrapText="1"/>
    </xf>
    <xf numFmtId="172" fontId="19" fillId="4" borderId="12" xfId="6" applyNumberFormat="1" applyFont="1" applyFill="1" applyBorder="1" applyAlignment="1">
      <alignment horizontal="center" vertical="center" wrapText="1"/>
    </xf>
    <xf numFmtId="3" fontId="24" fillId="0" borderId="1" xfId="6" applyNumberFormat="1" applyFont="1" applyBorder="1" applyAlignment="1">
      <alignment vertical="center" wrapText="1"/>
    </xf>
    <xf numFmtId="3" fontId="24" fillId="4" borderId="1" xfId="6" applyNumberFormat="1" applyFont="1" applyFill="1" applyBorder="1" applyAlignment="1">
      <alignment vertical="center" wrapText="1"/>
    </xf>
    <xf numFmtId="3" fontId="18" fillId="0" borderId="1" xfId="6" applyNumberFormat="1" applyFont="1" applyFill="1" applyBorder="1" applyAlignment="1">
      <alignment vertical="center" wrapText="1"/>
    </xf>
    <xf numFmtId="3" fontId="19" fillId="4" borderId="1" xfId="6" applyNumberFormat="1" applyFont="1" applyFill="1" applyBorder="1" applyAlignment="1">
      <alignment vertical="center" wrapText="1"/>
    </xf>
    <xf numFmtId="3" fontId="7" fillId="4" borderId="1" xfId="6" applyNumberFormat="1" applyFont="1" applyFill="1" applyBorder="1" applyAlignment="1">
      <alignment vertical="center" wrapText="1"/>
    </xf>
    <xf numFmtId="3" fontId="19" fillId="4" borderId="12" xfId="6" applyNumberFormat="1" applyFont="1" applyFill="1" applyBorder="1" applyAlignment="1">
      <alignment vertical="center" wrapText="1"/>
    </xf>
    <xf numFmtId="3" fontId="7" fillId="4" borderId="12" xfId="6" applyNumberFormat="1" applyFont="1" applyFill="1" applyBorder="1" applyAlignment="1">
      <alignment vertical="center" wrapText="1"/>
    </xf>
    <xf numFmtId="3" fontId="5" fillId="4" borderId="1" xfId="8" applyNumberFormat="1" applyFont="1" applyFill="1" applyBorder="1" applyAlignment="1">
      <alignment vertical="center" wrapText="1"/>
    </xf>
    <xf numFmtId="3" fontId="7" fillId="4" borderId="1" xfId="8" applyNumberFormat="1" applyFont="1" applyFill="1" applyBorder="1" applyAlignment="1">
      <alignment vertical="center" wrapText="1"/>
    </xf>
    <xf numFmtId="3" fontId="7" fillId="4" borderId="12" xfId="8" applyNumberFormat="1" applyFont="1" applyFill="1" applyBorder="1" applyAlignment="1">
      <alignment vertical="center" wrapText="1"/>
    </xf>
    <xf numFmtId="0" fontId="16" fillId="4" borderId="1" xfId="0" applyFont="1" applyFill="1" applyBorder="1" applyAlignment="1">
      <alignment horizontal="center" vertical="center" wrapText="1"/>
    </xf>
    <xf numFmtId="0" fontId="16" fillId="4" borderId="1" xfId="0" applyFont="1" applyFill="1" applyBorder="1" applyAlignment="1">
      <alignment vertical="center" wrapText="1"/>
    </xf>
    <xf numFmtId="3" fontId="17" fillId="4" borderId="1" xfId="8" applyNumberFormat="1" applyFont="1" applyFill="1" applyBorder="1" applyAlignment="1">
      <alignment horizontal="center" vertical="center" wrapText="1"/>
    </xf>
    <xf numFmtId="3" fontId="16" fillId="4" borderId="1" xfId="8" applyNumberFormat="1" applyFont="1" applyFill="1" applyBorder="1" applyAlignment="1">
      <alignment vertical="center" wrapText="1"/>
    </xf>
    <xf numFmtId="3" fontId="17" fillId="4" borderId="12" xfId="8" applyNumberFormat="1" applyFont="1" applyFill="1" applyBorder="1" applyAlignment="1">
      <alignment horizontal="center" vertical="center" wrapText="1"/>
    </xf>
    <xf numFmtId="3" fontId="17" fillId="4" borderId="1" xfId="8" applyNumberFormat="1" applyFont="1" applyFill="1" applyBorder="1" applyAlignment="1">
      <alignment horizontal="left" vertical="center" wrapText="1"/>
    </xf>
    <xf numFmtId="3" fontId="17" fillId="4" borderId="12" xfId="8" applyNumberFormat="1" applyFont="1" applyFill="1" applyBorder="1" applyAlignment="1">
      <alignment vertical="center" wrapText="1"/>
    </xf>
    <xf numFmtId="3" fontId="9" fillId="4" borderId="12" xfId="8" applyNumberFormat="1" applyFont="1" applyFill="1" applyBorder="1" applyAlignment="1">
      <alignment vertical="center" wrapText="1"/>
    </xf>
    <xf numFmtId="3" fontId="17" fillId="4" borderId="1" xfId="8" applyNumberFormat="1" applyFont="1" applyFill="1" applyBorder="1" applyAlignment="1">
      <alignment vertical="center" wrapText="1"/>
    </xf>
    <xf numFmtId="3" fontId="9" fillId="4" borderId="1" xfId="8" applyNumberFormat="1" applyFont="1" applyFill="1" applyBorder="1" applyAlignment="1">
      <alignment vertical="center" wrapText="1"/>
    </xf>
    <xf numFmtId="3" fontId="17" fillId="4" borderId="12" xfId="8" applyNumberFormat="1" applyFont="1" applyFill="1" applyBorder="1" applyAlignment="1">
      <alignment horizontal="left" vertical="center" wrapText="1"/>
    </xf>
    <xf numFmtId="0" fontId="18" fillId="4" borderId="1" xfId="8" applyFont="1" applyFill="1" applyBorder="1" applyAlignment="1">
      <alignment horizontal="center" vertical="center" wrapText="1"/>
    </xf>
    <xf numFmtId="49" fontId="18" fillId="4" borderId="1" xfId="8" applyNumberFormat="1" applyFont="1" applyFill="1" applyBorder="1" applyAlignment="1">
      <alignment vertical="center" wrapText="1"/>
    </xf>
    <xf numFmtId="49" fontId="19" fillId="4" borderId="1" xfId="8" applyNumberFormat="1" applyFont="1" applyFill="1" applyBorder="1" applyAlignment="1">
      <alignment vertical="center" wrapText="1"/>
    </xf>
    <xf numFmtId="49" fontId="19" fillId="4" borderId="12" xfId="8" applyNumberFormat="1" applyFont="1" applyFill="1" applyBorder="1" applyAlignment="1">
      <alignment vertical="center" wrapText="1"/>
    </xf>
    <xf numFmtId="3" fontId="19" fillId="0" borderId="1" xfId="6" applyNumberFormat="1" applyFont="1" applyFill="1" applyBorder="1" applyAlignment="1">
      <alignment wrapText="1"/>
    </xf>
    <xf numFmtId="3" fontId="18" fillId="4" borderId="1" xfId="6" applyNumberFormat="1" applyFont="1" applyFill="1" applyBorder="1" applyAlignment="1">
      <alignment vertical="center" wrapText="1"/>
    </xf>
    <xf numFmtId="0" fontId="18" fillId="4" borderId="1" xfId="8" applyFont="1" applyFill="1" applyBorder="1" applyAlignment="1">
      <alignment horizontal="center" vertical="center"/>
    </xf>
    <xf numFmtId="0" fontId="18" fillId="4" borderId="1" xfId="8" applyFont="1" applyFill="1" applyBorder="1" applyAlignment="1">
      <alignment vertical="center" wrapText="1"/>
    </xf>
    <xf numFmtId="3" fontId="18" fillId="4" borderId="1" xfId="8" applyNumberFormat="1" applyFont="1" applyFill="1" applyBorder="1" applyAlignment="1">
      <alignment vertical="center" wrapText="1"/>
    </xf>
    <xf numFmtId="0" fontId="20" fillId="4" borderId="1" xfId="8" applyFont="1" applyFill="1" applyBorder="1" applyAlignment="1">
      <alignment vertical="center" wrapText="1"/>
    </xf>
    <xf numFmtId="3" fontId="19" fillId="4" borderId="1" xfId="8" applyNumberFormat="1" applyFont="1" applyFill="1" applyBorder="1" applyAlignment="1">
      <alignment vertical="center" wrapText="1"/>
    </xf>
    <xf numFmtId="0" fontId="20" fillId="4" borderId="12" xfId="8" applyFont="1" applyFill="1" applyBorder="1" applyAlignment="1">
      <alignment vertical="center" wrapText="1"/>
    </xf>
    <xf numFmtId="3" fontId="19" fillId="4" borderId="12" xfId="8" applyNumberFormat="1" applyFont="1" applyFill="1" applyBorder="1" applyAlignment="1">
      <alignment vertical="center" wrapText="1"/>
    </xf>
    <xf numFmtId="1" fontId="19" fillId="4" borderId="1" xfId="8" applyNumberFormat="1" applyFont="1" applyFill="1" applyBorder="1" applyAlignment="1">
      <alignment horizontal="center" vertical="center" wrapText="1"/>
    </xf>
    <xf numFmtId="1" fontId="19" fillId="4" borderId="12" xfId="8" applyNumberFormat="1" applyFont="1" applyFill="1" applyBorder="1" applyAlignment="1">
      <alignment horizontal="center" vertical="center" wrapText="1"/>
    </xf>
    <xf numFmtId="0" fontId="5" fillId="4" borderId="1" xfId="8" applyFont="1" applyFill="1" applyBorder="1" applyAlignment="1">
      <alignment horizontal="center" vertical="center" wrapText="1"/>
    </xf>
    <xf numFmtId="1" fontId="7" fillId="4" borderId="1" xfId="8" applyNumberFormat="1" applyFont="1" applyFill="1" applyBorder="1" applyAlignment="1">
      <alignment horizontal="center" vertical="center" wrapText="1"/>
    </xf>
    <xf numFmtId="3" fontId="5" fillId="4" borderId="1" xfId="6" applyNumberFormat="1" applyFont="1" applyFill="1" applyBorder="1" applyAlignment="1">
      <alignment vertical="center" wrapText="1"/>
    </xf>
    <xf numFmtId="0" fontId="7" fillId="4" borderId="12" xfId="8" applyFont="1" applyFill="1" applyBorder="1" applyAlignment="1">
      <alignment horizontal="center" vertical="center" wrapText="1"/>
    </xf>
    <xf numFmtId="1" fontId="7" fillId="4" borderId="12" xfId="8" applyNumberFormat="1" applyFont="1" applyFill="1" applyBorder="1" applyAlignment="1">
      <alignment horizontal="center" vertical="center" wrapText="1"/>
    </xf>
    <xf numFmtId="0" fontId="7" fillId="4" borderId="1" xfId="8" applyFont="1" applyFill="1" applyBorder="1" applyAlignment="1">
      <alignment horizontal="center" vertical="center" wrapText="1"/>
    </xf>
    <xf numFmtId="0" fontId="5" fillId="4" borderId="1" xfId="8" applyFont="1" applyFill="1" applyBorder="1" applyAlignment="1">
      <alignment horizontal="center" vertical="center"/>
    </xf>
    <xf numFmtId="0" fontId="7" fillId="4" borderId="12" xfId="8" applyFont="1" applyFill="1" applyBorder="1" applyAlignment="1">
      <alignment horizontal="center" vertical="center"/>
    </xf>
    <xf numFmtId="0" fontId="7" fillId="4" borderId="1" xfId="8" applyFont="1" applyFill="1" applyBorder="1" applyAlignment="1">
      <alignment horizontal="center" vertical="center"/>
    </xf>
    <xf numFmtId="3" fontId="5" fillId="4" borderId="1" xfId="0" applyNumberFormat="1" applyFont="1" applyFill="1" applyBorder="1" applyAlignment="1">
      <alignment vertical="center" wrapText="1"/>
    </xf>
    <xf numFmtId="3" fontId="5" fillId="4" borderId="12" xfId="0" applyNumberFormat="1" applyFont="1" applyFill="1" applyBorder="1" applyAlignment="1">
      <alignment vertical="center" wrapText="1"/>
    </xf>
    <xf numFmtId="0" fontId="5" fillId="4" borderId="1" xfId="0" applyFont="1" applyFill="1" applyBorder="1" applyAlignment="1">
      <alignment horizontal="center" vertical="center"/>
    </xf>
    <xf numFmtId="0" fontId="5" fillId="4" borderId="1" xfId="0" applyFont="1" applyFill="1" applyBorder="1" applyAlignment="1">
      <alignment vertical="center" wrapText="1"/>
    </xf>
    <xf numFmtId="0" fontId="5" fillId="4" borderId="1" xfId="0" applyFont="1" applyFill="1" applyBorder="1" applyAlignment="1">
      <alignment horizontal="center" vertical="center" wrapText="1"/>
    </xf>
    <xf numFmtId="0" fontId="7" fillId="4" borderId="1" xfId="0" applyFont="1" applyFill="1" applyBorder="1" applyAlignment="1">
      <alignment horizontal="center" vertical="center"/>
    </xf>
    <xf numFmtId="0" fontId="7" fillId="4" borderId="1" xfId="0" applyFont="1" applyFill="1" applyBorder="1" applyAlignment="1">
      <alignment vertical="center" wrapText="1"/>
    </xf>
    <xf numFmtId="0" fontId="7" fillId="4" borderId="1" xfId="0" applyFont="1" applyFill="1" applyBorder="1" applyAlignment="1">
      <alignment horizontal="center" vertical="center" wrapText="1"/>
    </xf>
    <xf numFmtId="3" fontId="7" fillId="4" borderId="1" xfId="0" applyNumberFormat="1" applyFont="1" applyFill="1" applyBorder="1" applyAlignment="1">
      <alignment vertical="center" wrapText="1"/>
    </xf>
    <xf numFmtId="0" fontId="7" fillId="4" borderId="12" xfId="0" applyFont="1" applyFill="1" applyBorder="1" applyAlignment="1">
      <alignment horizontal="center" vertical="center"/>
    </xf>
    <xf numFmtId="0" fontId="7" fillId="4" borderId="12" xfId="0" applyFont="1" applyFill="1" applyBorder="1" applyAlignment="1">
      <alignment vertical="center" wrapText="1"/>
    </xf>
    <xf numFmtId="0" fontId="7" fillId="4" borderId="12" xfId="0" applyFont="1" applyFill="1" applyBorder="1" applyAlignment="1">
      <alignment horizontal="center" vertical="center" wrapText="1"/>
    </xf>
    <xf numFmtId="3" fontId="7" fillId="4" borderId="12" xfId="0" applyNumberFormat="1" applyFont="1" applyFill="1" applyBorder="1" applyAlignment="1">
      <alignment vertical="center" wrapText="1"/>
    </xf>
    <xf numFmtId="0" fontId="19" fillId="4" borderId="12" xfId="0" applyFont="1" applyFill="1" applyBorder="1" applyAlignment="1">
      <alignment horizontal="center" vertical="center" wrapText="1"/>
    </xf>
    <xf numFmtId="0" fontId="20" fillId="4" borderId="12" xfId="0" applyFont="1" applyFill="1" applyBorder="1" applyAlignment="1">
      <alignment vertical="center" wrapText="1"/>
    </xf>
    <xf numFmtId="3" fontId="19" fillId="4" borderId="12" xfId="0" applyNumberFormat="1" applyFont="1" applyFill="1" applyBorder="1" applyAlignment="1">
      <alignment vertical="center" wrapText="1"/>
    </xf>
    <xf numFmtId="3" fontId="18" fillId="4" borderId="1" xfId="0" applyNumberFormat="1" applyFont="1" applyFill="1" applyBorder="1" applyAlignment="1">
      <alignment vertical="center" wrapText="1"/>
    </xf>
    <xf numFmtId="0" fontId="19" fillId="4" borderId="1" xfId="0" applyFont="1" applyFill="1" applyBorder="1" applyAlignment="1">
      <alignment horizontal="center" vertical="center" wrapText="1"/>
    </xf>
    <xf numFmtId="0" fontId="20" fillId="4" borderId="1" xfId="0" applyFont="1" applyFill="1" applyBorder="1" applyAlignment="1">
      <alignment vertical="center" wrapText="1"/>
    </xf>
    <xf numFmtId="3" fontId="19" fillId="4" borderId="1" xfId="0" applyNumberFormat="1" applyFont="1" applyFill="1" applyBorder="1" applyAlignment="1">
      <alignment vertical="center" wrapText="1"/>
    </xf>
    <xf numFmtId="0" fontId="34" fillId="0" borderId="0" xfId="0" applyFont="1" applyFill="1" applyBorder="1" applyAlignment="1">
      <alignment vertical="center" wrapText="1"/>
    </xf>
    <xf numFmtId="0" fontId="6" fillId="0" borderId="0" xfId="0" applyFont="1" applyFill="1" applyAlignment="1">
      <alignment vertical="center" wrapText="1"/>
    </xf>
    <xf numFmtId="0" fontId="34" fillId="0" borderId="0" xfId="0" applyFont="1" applyFill="1" applyAlignment="1">
      <alignment vertical="center" wrapText="1"/>
    </xf>
    <xf numFmtId="0" fontId="34" fillId="0" borderId="1"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0" xfId="0" applyFont="1" applyFill="1" applyAlignment="1">
      <alignment horizontal="center" vertical="center" wrapText="1"/>
    </xf>
    <xf numFmtId="0" fontId="10" fillId="0" borderId="0" xfId="1" applyFont="1" applyFill="1" applyBorder="1" applyAlignment="1">
      <alignment horizontal="center" vertical="center"/>
    </xf>
    <xf numFmtId="0" fontId="3" fillId="0" borderId="4" xfId="0" applyFont="1" applyFill="1" applyBorder="1" applyAlignment="1">
      <alignment horizontal="center" vertical="center" wrapText="1"/>
    </xf>
    <xf numFmtId="0" fontId="5" fillId="0" borderId="0" xfId="0" applyFont="1" applyFill="1" applyAlignment="1">
      <alignment horizontal="center" vertical="center" wrapText="1"/>
    </xf>
    <xf numFmtId="3" fontId="18" fillId="0" borderId="2" xfId="8" applyNumberFormat="1" applyFont="1" applyFill="1" applyBorder="1" applyAlignment="1">
      <alignment vertical="center" wrapText="1"/>
    </xf>
    <xf numFmtId="3" fontId="5" fillId="0" borderId="2" xfId="8" applyNumberFormat="1" applyFont="1" applyFill="1" applyBorder="1" applyAlignment="1">
      <alignment vertical="center" wrapText="1"/>
    </xf>
    <xf numFmtId="0" fontId="18" fillId="4" borderId="17" xfId="0" applyFont="1" applyFill="1" applyBorder="1" applyAlignment="1">
      <alignment horizontal="center" vertical="center" wrapText="1"/>
    </xf>
    <xf numFmtId="0" fontId="18" fillId="4" borderId="17" xfId="0" applyFont="1" applyFill="1" applyBorder="1" applyAlignment="1">
      <alignment vertical="center" wrapText="1"/>
    </xf>
    <xf numFmtId="172" fontId="24" fillId="4" borderId="17" xfId="6" applyNumberFormat="1" applyFont="1" applyFill="1" applyBorder="1" applyAlignment="1">
      <alignment vertical="center" wrapText="1"/>
    </xf>
    <xf numFmtId="3" fontId="24" fillId="4" borderId="17" xfId="6" applyNumberFormat="1" applyFont="1" applyFill="1" applyBorder="1" applyAlignment="1">
      <alignment vertical="center" wrapText="1"/>
    </xf>
    <xf numFmtId="3" fontId="19" fillId="0" borderId="12" xfId="8" applyNumberFormat="1" applyFont="1" applyBorder="1" applyAlignment="1">
      <alignment horizontal="center" vertical="center" wrapText="1"/>
    </xf>
    <xf numFmtId="49" fontId="19" fillId="0" borderId="12" xfId="6" applyNumberFormat="1" applyFont="1" applyBorder="1" applyAlignment="1">
      <alignment vertical="center" wrapText="1"/>
    </xf>
    <xf numFmtId="172" fontId="19" fillId="0" borderId="12" xfId="6" applyNumberFormat="1" applyFont="1" applyBorder="1" applyAlignment="1">
      <alignment horizontal="center" vertical="center" wrapText="1"/>
    </xf>
    <xf numFmtId="3" fontId="19" fillId="0" borderId="12" xfId="6" applyNumberFormat="1" applyFont="1" applyBorder="1" applyAlignment="1">
      <alignment vertical="center" wrapText="1"/>
    </xf>
    <xf numFmtId="3" fontId="7" fillId="0" borderId="12" xfId="6" applyNumberFormat="1" applyFont="1" applyFill="1" applyBorder="1" applyAlignment="1">
      <alignment vertical="center" wrapText="1"/>
    </xf>
    <xf numFmtId="180" fontId="19" fillId="0" borderId="0" xfId="0" applyNumberFormat="1" applyFont="1"/>
    <xf numFmtId="3" fontId="5" fillId="4" borderId="7" xfId="8" applyNumberFormat="1" applyFont="1" applyFill="1" applyBorder="1" applyAlignment="1">
      <alignment horizontal="center" vertical="center" wrapText="1"/>
    </xf>
    <xf numFmtId="3" fontId="5" fillId="4" borderId="7" xfId="8" applyNumberFormat="1" applyFont="1" applyFill="1" applyBorder="1" applyAlignment="1">
      <alignment horizontal="left" vertical="center" wrapText="1"/>
    </xf>
    <xf numFmtId="3" fontId="7" fillId="4" borderId="7" xfId="8" applyNumberFormat="1" applyFont="1" applyFill="1" applyBorder="1" applyAlignment="1">
      <alignment horizontal="center" vertical="center" wrapText="1"/>
    </xf>
    <xf numFmtId="3" fontId="5" fillId="4" borderId="7" xfId="8" applyNumberFormat="1" applyFont="1" applyFill="1" applyBorder="1" applyAlignment="1">
      <alignment vertical="center" wrapText="1"/>
    </xf>
    <xf numFmtId="3" fontId="7" fillId="4" borderId="7" xfId="8" applyNumberFormat="1" applyFont="1" applyFill="1" applyBorder="1" applyAlignment="1">
      <alignment vertical="center" wrapText="1"/>
    </xf>
    <xf numFmtId="0" fontId="18" fillId="4" borderId="17" xfId="8" applyFont="1" applyFill="1" applyBorder="1" applyAlignment="1">
      <alignment horizontal="center" vertical="center" wrapText="1"/>
    </xf>
    <xf numFmtId="49" fontId="18" fillId="4" borderId="17" xfId="8" applyNumberFormat="1" applyFont="1" applyFill="1" applyBorder="1" applyAlignment="1">
      <alignment vertical="center" wrapText="1"/>
    </xf>
    <xf numFmtId="1" fontId="19" fillId="4" borderId="17" xfId="8" applyNumberFormat="1" applyFont="1" applyFill="1" applyBorder="1" applyAlignment="1">
      <alignment horizontal="center" vertical="center" wrapText="1"/>
    </xf>
    <xf numFmtId="3" fontId="18" fillId="4" borderId="17" xfId="6" applyNumberFormat="1" applyFont="1" applyFill="1" applyBorder="1" applyAlignment="1">
      <alignment vertical="center" wrapText="1"/>
    </xf>
    <xf numFmtId="0" fontId="19" fillId="0" borderId="12" xfId="8" applyFont="1" applyFill="1" applyBorder="1" applyAlignment="1">
      <alignment horizontal="center" vertical="center" wrapText="1"/>
    </xf>
    <xf numFmtId="49" fontId="19" fillId="0" borderId="12" xfId="8" applyNumberFormat="1" applyFont="1" applyFill="1" applyBorder="1" applyAlignment="1">
      <alignment vertical="center" wrapText="1"/>
    </xf>
    <xf numFmtId="1" fontId="19" fillId="0" borderId="12" xfId="8" applyNumberFormat="1" applyFont="1" applyBorder="1" applyAlignment="1">
      <alignment horizontal="center" vertical="center" wrapText="1"/>
    </xf>
    <xf numFmtId="3" fontId="19" fillId="0" borderId="0" xfId="8" applyNumberFormat="1" applyFont="1" applyFill="1" applyAlignment="1">
      <alignment wrapText="1"/>
    </xf>
    <xf numFmtId="3" fontId="5" fillId="4" borderId="17" xfId="0" applyNumberFormat="1" applyFont="1" applyFill="1" applyBorder="1" applyAlignment="1">
      <alignment vertical="center" wrapText="1"/>
    </xf>
    <xf numFmtId="3" fontId="5" fillId="0" borderId="12" xfId="0" applyNumberFormat="1" applyFont="1" applyFill="1" applyBorder="1" applyAlignment="1">
      <alignment vertical="center" wrapText="1"/>
    </xf>
    <xf numFmtId="3" fontId="2" fillId="0" borderId="0" xfId="0" applyNumberFormat="1" applyFont="1" applyFill="1" applyAlignment="1">
      <alignment horizontal="center" vertical="center" wrapText="1"/>
    </xf>
    <xf numFmtId="0" fontId="0" fillId="0" borderId="0" xfId="0" applyFill="1" applyAlignment="1">
      <alignment vertical="center" wrapText="1"/>
    </xf>
    <xf numFmtId="3" fontId="3" fillId="0" borderId="4" xfId="0" applyNumberFormat="1" applyFont="1" applyFill="1" applyBorder="1" applyAlignment="1">
      <alignment horizontal="center" vertical="center" wrapText="1"/>
    </xf>
    <xf numFmtId="3" fontId="3" fillId="0" borderId="2" xfId="0" applyNumberFormat="1" applyFont="1" applyFill="1" applyBorder="1" applyAlignment="1">
      <alignment horizontal="center" vertical="center" wrapText="1"/>
    </xf>
    <xf numFmtId="3" fontId="2" fillId="0" borderId="1" xfId="0" applyNumberFormat="1" applyFont="1" applyFill="1" applyBorder="1" applyAlignment="1">
      <alignment horizontal="center" vertical="center" wrapText="1"/>
    </xf>
    <xf numFmtId="3" fontId="2" fillId="0" borderId="1" xfId="0" applyNumberFormat="1" applyFont="1" applyFill="1" applyBorder="1" applyAlignment="1">
      <alignment vertical="center" wrapText="1"/>
    </xf>
    <xf numFmtId="3" fontId="3" fillId="0" borderId="1" xfId="0" applyNumberFormat="1" applyFont="1" applyFill="1" applyBorder="1" applyAlignment="1">
      <alignment horizontal="center" vertical="center" wrapText="1"/>
    </xf>
    <xf numFmtId="3" fontId="3" fillId="0" borderId="1" xfId="0" applyNumberFormat="1" applyFont="1" applyFill="1" applyBorder="1" applyAlignment="1">
      <alignment vertical="center" wrapText="1"/>
    </xf>
    <xf numFmtId="167" fontId="2" fillId="0" borderId="1" xfId="0" applyNumberFormat="1"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3" fontId="7" fillId="0" borderId="1" xfId="0" applyNumberFormat="1" applyFont="1" applyFill="1" applyBorder="1" applyAlignment="1">
      <alignment horizontal="center" vertical="center" wrapText="1"/>
    </xf>
    <xf numFmtId="172" fontId="5" fillId="0" borderId="1" xfId="6" applyNumberFormat="1" applyFont="1" applyFill="1" applyBorder="1" applyAlignment="1">
      <alignment vertical="center" wrapText="1"/>
    </xf>
    <xf numFmtId="172" fontId="7" fillId="0" borderId="1" xfId="6" applyNumberFormat="1" applyFont="1" applyFill="1" applyBorder="1" applyAlignment="1">
      <alignment vertical="center" wrapText="1"/>
    </xf>
    <xf numFmtId="3" fontId="7" fillId="0" borderId="12" xfId="0" applyNumberFormat="1" applyFont="1" applyFill="1" applyBorder="1" applyAlignment="1">
      <alignment horizontal="center" vertical="center" wrapText="1"/>
    </xf>
    <xf numFmtId="3" fontId="7" fillId="0" borderId="12" xfId="0" applyNumberFormat="1" applyFont="1" applyFill="1" applyBorder="1" applyAlignment="1">
      <alignment vertical="center" wrapText="1"/>
    </xf>
    <xf numFmtId="3" fontId="2" fillId="0" borderId="12" xfId="0" applyNumberFormat="1" applyFont="1" applyFill="1" applyBorder="1" applyAlignment="1">
      <alignment horizontal="center" vertical="center" wrapText="1"/>
    </xf>
    <xf numFmtId="0" fontId="0" fillId="0" borderId="0" xfId="0" applyFill="1" applyAlignment="1">
      <alignment horizontal="center" vertical="center" wrapText="1"/>
    </xf>
    <xf numFmtId="3" fontId="27" fillId="0" borderId="13" xfId="0" applyNumberFormat="1" applyFont="1" applyFill="1" applyBorder="1" applyAlignment="1">
      <alignment vertical="center" wrapText="1"/>
    </xf>
    <xf numFmtId="3" fontId="28" fillId="0" borderId="13" xfId="0" applyNumberFormat="1" applyFont="1" applyFill="1" applyBorder="1" applyAlignment="1">
      <alignment vertical="center" wrapText="1"/>
    </xf>
    <xf numFmtId="172" fontId="19" fillId="0" borderId="0" xfId="6" applyNumberFormat="1" applyFont="1" applyFill="1"/>
    <xf numFmtId="179" fontId="19" fillId="0" borderId="0" xfId="9" applyNumberFormat="1" applyFont="1" applyFill="1"/>
    <xf numFmtId="179" fontId="28" fillId="0" borderId="1" xfId="9" applyNumberFormat="1" applyFont="1" applyFill="1" applyBorder="1" applyAlignment="1">
      <alignment horizontal="right" vertical="center" wrapText="1"/>
    </xf>
    <xf numFmtId="179" fontId="28" fillId="0" borderId="12" xfId="9" applyNumberFormat="1" applyFont="1" applyFill="1" applyBorder="1" applyAlignment="1">
      <alignment horizontal="right" vertical="center" wrapText="1"/>
    </xf>
    <xf numFmtId="3" fontId="7" fillId="0" borderId="1" xfId="8" applyNumberFormat="1" applyFont="1" applyBorder="1" applyAlignment="1">
      <alignment horizontal="center" vertical="center" wrapText="1"/>
    </xf>
    <xf numFmtId="3" fontId="7" fillId="0" borderId="12" xfId="8" applyNumberFormat="1" applyFont="1" applyBorder="1" applyAlignment="1">
      <alignment horizontal="center" vertical="center" wrapText="1"/>
    </xf>
    <xf numFmtId="0" fontId="19" fillId="4" borderId="17" xfId="8" applyFont="1" applyFill="1" applyBorder="1" applyAlignment="1">
      <alignment horizontal="center" vertical="center" wrapText="1"/>
    </xf>
    <xf numFmtId="0" fontId="19" fillId="0" borderId="12" xfId="8" applyFont="1" applyBorder="1" applyAlignment="1">
      <alignment horizontal="center" vertical="center" wrapText="1"/>
    </xf>
    <xf numFmtId="0" fontId="19" fillId="0" borderId="12" xfId="8" applyFont="1" applyBorder="1" applyAlignment="1">
      <alignment vertical="center" wrapText="1"/>
    </xf>
    <xf numFmtId="3" fontId="7" fillId="0" borderId="12" xfId="6" applyNumberFormat="1" applyFont="1" applyBorder="1" applyAlignment="1">
      <alignment vertical="center" wrapText="1"/>
    </xf>
    <xf numFmtId="3" fontId="5" fillId="0" borderId="12" xfId="8" applyNumberFormat="1" applyFont="1" applyBorder="1" applyAlignment="1">
      <alignment vertical="center" wrapText="1"/>
    </xf>
    <xf numFmtId="3" fontId="5" fillId="0" borderId="17" xfId="8" applyNumberFormat="1" applyFont="1" applyBorder="1" applyAlignment="1">
      <alignment vertical="center" wrapText="1"/>
    </xf>
    <xf numFmtId="3" fontId="5" fillId="0" borderId="12" xfId="8" applyNumberFormat="1" applyFont="1" applyBorder="1" applyAlignment="1">
      <alignment horizontal="center" vertical="center" wrapText="1"/>
    </xf>
    <xf numFmtId="3" fontId="5" fillId="0" borderId="12" xfId="8" applyNumberFormat="1" applyFont="1" applyBorder="1" applyAlignment="1">
      <alignment horizontal="left" vertical="center" wrapText="1"/>
    </xf>
    <xf numFmtId="3" fontId="7" fillId="0" borderId="12" xfId="8" applyNumberFormat="1" applyFont="1" applyBorder="1" applyAlignment="1">
      <alignment vertical="center" wrapText="1"/>
    </xf>
    <xf numFmtId="3" fontId="7" fillId="0" borderId="11" xfId="8" applyNumberFormat="1" applyFont="1" applyBorder="1" applyAlignment="1">
      <alignment vertical="center" wrapText="1"/>
    </xf>
    <xf numFmtId="3" fontId="7" fillId="0" borderId="7" xfId="8" applyNumberFormat="1" applyFont="1" applyBorder="1" applyAlignment="1">
      <alignment vertical="center" wrapText="1"/>
    </xf>
    <xf numFmtId="0" fontId="16" fillId="4" borderId="17" xfId="0" applyFont="1" applyFill="1" applyBorder="1" applyAlignment="1">
      <alignment horizontal="center" vertical="center" wrapText="1"/>
    </xf>
    <xf numFmtId="0" fontId="16" fillId="4" borderId="17" xfId="0" applyFont="1" applyFill="1" applyBorder="1" applyAlignment="1">
      <alignment vertical="center" wrapText="1"/>
    </xf>
    <xf numFmtId="3" fontId="17" fillId="4" borderId="17" xfId="8" applyNumberFormat="1" applyFont="1" applyFill="1" applyBorder="1" applyAlignment="1">
      <alignment horizontal="center" vertical="center" wrapText="1"/>
    </xf>
    <xf numFmtId="3" fontId="16" fillId="4" borderId="17" xfId="8" applyNumberFormat="1" applyFont="1" applyFill="1" applyBorder="1" applyAlignment="1">
      <alignment vertical="center" wrapText="1"/>
    </xf>
    <xf numFmtId="3" fontId="17" fillId="0" borderId="12" xfId="8" applyNumberFormat="1" applyFont="1" applyBorder="1" applyAlignment="1">
      <alignment horizontal="center" vertical="center" wrapText="1"/>
    </xf>
    <xf numFmtId="3" fontId="17" fillId="0" borderId="12" xfId="8" applyNumberFormat="1" applyFont="1" applyBorder="1" applyAlignment="1">
      <alignment horizontal="left" vertical="center" wrapText="1"/>
    </xf>
    <xf numFmtId="3" fontId="17" fillId="0" borderId="12" xfId="8" applyNumberFormat="1" applyFont="1" applyBorder="1" applyAlignment="1">
      <alignment vertical="center" wrapText="1"/>
    </xf>
    <xf numFmtId="3" fontId="9" fillId="0" borderId="12" xfId="8" applyNumberFormat="1" applyFont="1" applyBorder="1" applyAlignment="1">
      <alignment vertical="center" wrapText="1"/>
    </xf>
    <xf numFmtId="0" fontId="5" fillId="4" borderId="17" xfId="8" applyFont="1" applyFill="1" applyBorder="1" applyAlignment="1">
      <alignment horizontal="center" vertical="center" wrapText="1"/>
    </xf>
    <xf numFmtId="1" fontId="7" fillId="4" borderId="17" xfId="8" applyNumberFormat="1" applyFont="1" applyFill="1" applyBorder="1" applyAlignment="1">
      <alignment horizontal="center" vertical="center" wrapText="1"/>
    </xf>
    <xf numFmtId="3" fontId="5" fillId="4" borderId="17" xfId="6" applyNumberFormat="1" applyFont="1" applyFill="1" applyBorder="1" applyAlignment="1">
      <alignment vertical="center" wrapText="1"/>
    </xf>
    <xf numFmtId="0" fontId="7" fillId="0" borderId="12" xfId="8" applyFont="1" applyFill="1" applyBorder="1" applyAlignment="1">
      <alignment horizontal="center" vertical="center" wrapText="1"/>
    </xf>
    <xf numFmtId="1" fontId="7" fillId="0" borderId="12" xfId="8" applyNumberFormat="1" applyFont="1" applyBorder="1" applyAlignment="1">
      <alignment horizontal="center" vertical="center" wrapText="1"/>
    </xf>
    <xf numFmtId="181" fontId="19" fillId="0" borderId="0" xfId="9" applyNumberFormat="1" applyFont="1" applyAlignment="1">
      <alignment vertical="center"/>
    </xf>
    <xf numFmtId="0" fontId="5" fillId="4" borderId="17" xfId="8" applyFont="1" applyFill="1" applyBorder="1" applyAlignment="1">
      <alignment horizontal="center" vertical="center"/>
    </xf>
    <xf numFmtId="3" fontId="5" fillId="4" borderId="17" xfId="8" applyNumberFormat="1" applyFont="1" applyFill="1" applyBorder="1" applyAlignment="1">
      <alignment vertical="center" wrapText="1"/>
    </xf>
    <xf numFmtId="0" fontId="7" fillId="0" borderId="12" xfId="8" applyFont="1" applyFill="1" applyBorder="1" applyAlignment="1">
      <alignment horizontal="center" vertical="center"/>
    </xf>
    <xf numFmtId="3" fontId="7" fillId="0" borderId="12" xfId="8" applyNumberFormat="1" applyFont="1" applyFill="1" applyBorder="1" applyAlignment="1">
      <alignment vertical="center" wrapText="1"/>
    </xf>
    <xf numFmtId="0" fontId="5" fillId="4" borderId="17" xfId="0" applyFont="1" applyFill="1" applyBorder="1" applyAlignment="1">
      <alignment horizontal="center" vertical="center"/>
    </xf>
    <xf numFmtId="0" fontId="5" fillId="4" borderId="17" xfId="0" applyFont="1" applyFill="1" applyBorder="1" applyAlignment="1">
      <alignment vertical="center" wrapText="1"/>
    </xf>
    <xf numFmtId="0" fontId="5" fillId="4" borderId="17" xfId="0" applyFont="1" applyFill="1" applyBorder="1" applyAlignment="1">
      <alignment horizontal="center" vertical="center" wrapText="1"/>
    </xf>
    <xf numFmtId="0" fontId="7" fillId="0" borderId="12" xfId="0" applyFont="1" applyBorder="1" applyAlignment="1">
      <alignment horizontal="center" vertical="center"/>
    </xf>
    <xf numFmtId="0" fontId="7" fillId="0" borderId="12" xfId="0" applyFont="1" applyBorder="1" applyAlignment="1">
      <alignment horizontal="center" vertical="center" wrapText="1"/>
    </xf>
    <xf numFmtId="0" fontId="7" fillId="4" borderId="17" xfId="0" applyFont="1" applyFill="1" applyBorder="1" applyAlignment="1">
      <alignment horizontal="center" vertical="center" wrapText="1"/>
    </xf>
    <xf numFmtId="3" fontId="18" fillId="4" borderId="17" xfId="0" applyNumberFormat="1" applyFont="1" applyFill="1" applyBorder="1" applyAlignment="1">
      <alignment vertical="center" wrapText="1"/>
    </xf>
    <xf numFmtId="0" fontId="19" fillId="0" borderId="12" xfId="0" applyFont="1" applyFill="1" applyBorder="1" applyAlignment="1">
      <alignment horizontal="center" vertical="center" wrapText="1"/>
    </xf>
    <xf numFmtId="0" fontId="20" fillId="0" borderId="12" xfId="0" applyFont="1" applyFill="1" applyBorder="1" applyAlignment="1">
      <alignment vertical="center" wrapText="1"/>
    </xf>
    <xf numFmtId="0" fontId="7" fillId="0" borderId="12" xfId="0" applyFont="1" applyFill="1" applyBorder="1" applyAlignment="1">
      <alignment horizontal="center" vertical="center" wrapText="1"/>
    </xf>
    <xf numFmtId="3" fontId="19" fillId="0" borderId="12" xfId="0" applyNumberFormat="1" applyFont="1" applyFill="1" applyBorder="1" applyAlignment="1">
      <alignment vertical="center" wrapText="1"/>
    </xf>
    <xf numFmtId="3" fontId="27" fillId="0" borderId="20" xfId="0" applyNumberFormat="1" applyFont="1" applyFill="1" applyBorder="1" applyAlignment="1">
      <alignment vertical="center" wrapText="1"/>
    </xf>
    <xf numFmtId="3" fontId="28" fillId="0" borderId="20" xfId="0" applyNumberFormat="1" applyFont="1" applyFill="1" applyBorder="1" applyAlignment="1">
      <alignment vertical="center" wrapText="1"/>
    </xf>
    <xf numFmtId="0" fontId="34" fillId="0" borderId="20" xfId="0" applyFont="1" applyFill="1" applyBorder="1" applyAlignment="1">
      <alignment horizontal="center" vertical="center" wrapText="1"/>
    </xf>
    <xf numFmtId="0" fontId="34" fillId="0" borderId="13" xfId="0" applyFont="1" applyFill="1" applyBorder="1" applyAlignment="1">
      <alignment vertical="center" wrapText="1"/>
    </xf>
    <xf numFmtId="0" fontId="38" fillId="0" borderId="2" xfId="0" applyFont="1" applyFill="1" applyBorder="1" applyAlignment="1">
      <alignment horizontal="center" vertical="center" wrapText="1"/>
    </xf>
    <xf numFmtId="0" fontId="38" fillId="0" borderId="0" xfId="0" applyFont="1" applyFill="1" applyAlignment="1">
      <alignment horizontal="center" vertical="center" wrapText="1"/>
    </xf>
    <xf numFmtId="0" fontId="19" fillId="0" borderId="0" xfId="8" applyFont="1" applyFill="1" applyBorder="1"/>
    <xf numFmtId="0" fontId="31" fillId="0" borderId="0" xfId="0" applyFont="1" applyFill="1" applyAlignment="1">
      <alignment vertical="center" wrapText="1"/>
    </xf>
    <xf numFmtId="1" fontId="32" fillId="0" borderId="0" xfId="0" applyNumberFormat="1" applyFont="1" applyFill="1" applyAlignment="1">
      <alignment vertical="center"/>
    </xf>
    <xf numFmtId="3" fontId="40" fillId="0" borderId="2" xfId="6" applyNumberFormat="1" applyFont="1" applyFill="1" applyBorder="1" applyAlignment="1">
      <alignment vertical="center"/>
    </xf>
    <xf numFmtId="3" fontId="40" fillId="0" borderId="1" xfId="6" applyNumberFormat="1" applyFont="1" applyFill="1" applyBorder="1" applyAlignment="1">
      <alignment vertical="center"/>
    </xf>
    <xf numFmtId="3" fontId="41" fillId="0" borderId="1" xfId="6" applyNumberFormat="1" applyFont="1" applyFill="1" applyBorder="1" applyAlignment="1">
      <alignment vertical="center"/>
    </xf>
    <xf numFmtId="3" fontId="41" fillId="0" borderId="1" xfId="6" applyNumberFormat="1" applyFont="1" applyFill="1" applyBorder="1" applyAlignment="1">
      <alignment horizontal="right" vertical="center"/>
    </xf>
    <xf numFmtId="3" fontId="41" fillId="0" borderId="1" xfId="6" applyNumberFormat="1" applyFont="1" applyFill="1" applyBorder="1" applyAlignment="1">
      <alignment vertical="center" wrapText="1"/>
    </xf>
    <xf numFmtId="3" fontId="41" fillId="0" borderId="12" xfId="6" applyNumberFormat="1" applyFont="1" applyFill="1" applyBorder="1" applyAlignment="1">
      <alignment vertical="center"/>
    </xf>
    <xf numFmtId="3" fontId="41" fillId="0" borderId="12" xfId="6" applyNumberFormat="1" applyFont="1" applyFill="1" applyBorder="1" applyAlignment="1">
      <alignment horizontal="right" vertical="center"/>
    </xf>
    <xf numFmtId="3" fontId="41" fillId="0" borderId="12" xfId="6" applyNumberFormat="1" applyFont="1" applyFill="1" applyBorder="1" applyAlignment="1">
      <alignment vertical="center" wrapText="1"/>
    </xf>
    <xf numFmtId="177" fontId="44" fillId="3" borderId="0" xfId="6" applyNumberFormat="1" applyFont="1" applyFill="1" applyBorder="1" applyAlignment="1">
      <alignment vertical="center" wrapText="1"/>
    </xf>
    <xf numFmtId="0" fontId="7" fillId="0" borderId="1" xfId="0" applyFont="1" applyBorder="1" applyAlignment="1">
      <alignment horizontal="justify" vertical="center" wrapText="1"/>
    </xf>
    <xf numFmtId="0" fontId="5" fillId="0" borderId="1" xfId="0" applyFont="1" applyBorder="1" applyAlignment="1">
      <alignment horizontal="justify" vertical="center" wrapText="1"/>
    </xf>
    <xf numFmtId="0" fontId="7" fillId="0" borderId="12" xfId="0" applyFont="1" applyBorder="1" applyAlignment="1">
      <alignment horizontal="justify" vertical="center" wrapText="1"/>
    </xf>
    <xf numFmtId="0" fontId="18" fillId="3" borderId="0" xfId="0" applyFont="1" applyFill="1" applyAlignment="1">
      <alignment vertical="center"/>
    </xf>
    <xf numFmtId="0" fontId="0" fillId="3" borderId="0" xfId="0" applyFill="1" applyAlignment="1">
      <alignment vertical="center"/>
    </xf>
    <xf numFmtId="0" fontId="18" fillId="3" borderId="0" xfId="0" applyFont="1" applyFill="1" applyAlignment="1">
      <alignment horizontal="center" vertical="center"/>
    </xf>
    <xf numFmtId="0" fontId="0" fillId="3" borderId="0" xfId="0" applyFill="1" applyAlignment="1">
      <alignment horizontal="center" vertical="center"/>
    </xf>
    <xf numFmtId="0" fontId="18" fillId="3" borderId="0" xfId="0" applyFont="1" applyFill="1" applyAlignment="1">
      <alignment horizontal="center" vertical="center" wrapText="1"/>
    </xf>
    <xf numFmtId="0" fontId="35" fillId="3" borderId="0" xfId="0" applyFont="1" applyFill="1" applyAlignment="1">
      <alignment vertical="center"/>
    </xf>
    <xf numFmtId="0" fontId="0" fillId="3" borderId="9" xfId="0" applyFill="1" applyBorder="1" applyAlignment="1">
      <alignment vertical="center"/>
    </xf>
    <xf numFmtId="0" fontId="0" fillId="3" borderId="0" xfId="0" applyFill="1" applyBorder="1" applyAlignment="1">
      <alignment horizontal="center" vertical="center"/>
    </xf>
    <xf numFmtId="0" fontId="0" fillId="3" borderId="4" xfId="0" applyFill="1" applyBorder="1" applyAlignment="1">
      <alignment vertical="center" wrapText="1"/>
    </xf>
    <xf numFmtId="0" fontId="0" fillId="3" borderId="6" xfId="0" applyFill="1" applyBorder="1" applyAlignment="1">
      <alignment vertical="center" wrapText="1"/>
    </xf>
    <xf numFmtId="0" fontId="0" fillId="3" borderId="16" xfId="0" applyFill="1" applyBorder="1" applyAlignment="1">
      <alignment vertical="center" wrapText="1"/>
    </xf>
    <xf numFmtId="0" fontId="0" fillId="3" borderId="0" xfId="0" applyFill="1" applyBorder="1" applyAlignment="1">
      <alignment vertical="center" wrapText="1"/>
    </xf>
    <xf numFmtId="0" fontId="0" fillId="3" borderId="14" xfId="0" applyFill="1" applyBorder="1" applyAlignment="1">
      <alignment vertical="center" wrapText="1"/>
    </xf>
    <xf numFmtId="0" fontId="0" fillId="3" borderId="4" xfId="0" applyFill="1" applyBorder="1" applyAlignment="1">
      <alignment horizontal="center" vertical="center" wrapText="1"/>
    </xf>
    <xf numFmtId="0" fontId="0" fillId="3" borderId="18" xfId="0" applyFill="1" applyBorder="1" applyAlignment="1">
      <alignment vertical="center" wrapText="1"/>
    </xf>
    <xf numFmtId="0" fontId="0" fillId="3" borderId="19" xfId="0" applyFill="1" applyBorder="1" applyAlignment="1">
      <alignment vertical="center" wrapText="1"/>
    </xf>
    <xf numFmtId="3" fontId="18" fillId="3" borderId="4" xfId="0" applyNumberFormat="1" applyFont="1" applyFill="1" applyBorder="1" applyAlignment="1">
      <alignment vertical="center" wrapText="1"/>
    </xf>
    <xf numFmtId="4" fontId="18" fillId="3" borderId="1" xfId="0" applyNumberFormat="1" applyFont="1" applyFill="1" applyBorder="1" applyAlignment="1">
      <alignment horizontal="right" vertical="center" wrapText="1"/>
    </xf>
    <xf numFmtId="4" fontId="18" fillId="3" borderId="4" xfId="0" applyNumberFormat="1" applyFont="1" applyFill="1" applyBorder="1" applyAlignment="1">
      <alignment horizontal="right" vertical="center" wrapText="1"/>
    </xf>
    <xf numFmtId="0" fontId="18" fillId="3" borderId="4" xfId="0" applyFont="1" applyFill="1" applyBorder="1" applyAlignment="1">
      <alignment horizontal="center" vertical="center" wrapText="1"/>
    </xf>
    <xf numFmtId="0" fontId="18" fillId="3" borderId="17" xfId="0" applyFont="1" applyFill="1" applyBorder="1" applyAlignment="1">
      <alignment horizontal="center" vertical="center" wrapText="1"/>
    </xf>
    <xf numFmtId="3" fontId="18" fillId="3" borderId="17" xfId="0" applyNumberFormat="1" applyFont="1" applyFill="1" applyBorder="1" applyAlignment="1">
      <alignment vertical="center" wrapText="1"/>
    </xf>
    <xf numFmtId="0" fontId="0" fillId="3" borderId="1" xfId="0" applyFill="1" applyBorder="1" applyAlignment="1">
      <alignment horizontal="center" vertical="center" wrapText="1"/>
    </xf>
    <xf numFmtId="0" fontId="19" fillId="3" borderId="1" xfId="0" applyFont="1" applyFill="1" applyBorder="1" applyAlignment="1">
      <alignment horizontal="center" vertical="center" wrapText="1"/>
    </xf>
    <xf numFmtId="0" fontId="0" fillId="3" borderId="1" xfId="0" quotePrefix="1" applyFill="1" applyBorder="1" applyAlignment="1">
      <alignment horizontal="center" vertical="center" wrapText="1"/>
    </xf>
    <xf numFmtId="0" fontId="0" fillId="3" borderId="1" xfId="0" applyFill="1" applyBorder="1" applyAlignment="1">
      <alignment horizontal="left" vertical="center" wrapText="1"/>
    </xf>
    <xf numFmtId="3" fontId="1" fillId="3" borderId="1" xfId="6" applyNumberFormat="1" applyFont="1" applyFill="1" applyBorder="1" applyAlignment="1">
      <alignment vertical="center" wrapText="1"/>
    </xf>
    <xf numFmtId="4" fontId="1" fillId="3" borderId="1" xfId="6" applyNumberFormat="1" applyFont="1" applyFill="1" applyBorder="1" applyAlignment="1">
      <alignment horizontal="right" vertical="center" wrapText="1"/>
    </xf>
    <xf numFmtId="4" fontId="1" fillId="3" borderId="2" xfId="6" applyNumberFormat="1" applyFont="1" applyFill="1" applyBorder="1" applyAlignment="1">
      <alignment horizontal="right" vertical="center" wrapText="1"/>
    </xf>
    <xf numFmtId="2" fontId="0" fillId="3" borderId="2" xfId="0" applyNumberFormat="1" applyFill="1" applyBorder="1" applyAlignment="1">
      <alignment vertical="center"/>
    </xf>
    <xf numFmtId="172" fontId="1" fillId="3" borderId="1" xfId="6" applyNumberFormat="1" applyFont="1" applyFill="1" applyBorder="1" applyAlignment="1">
      <alignment horizontal="center" vertical="center" wrapText="1"/>
    </xf>
    <xf numFmtId="3" fontId="0" fillId="3" borderId="1" xfId="0" applyNumberFormat="1" applyFill="1" applyBorder="1" applyAlignment="1">
      <alignment vertical="center" wrapText="1"/>
    </xf>
    <xf numFmtId="2" fontId="0" fillId="3" borderId="1" xfId="0" applyNumberFormat="1" applyFill="1" applyBorder="1" applyAlignment="1">
      <alignment vertical="center"/>
    </xf>
    <xf numFmtId="4" fontId="0" fillId="3" borderId="1" xfId="0" applyNumberFormat="1" applyFill="1" applyBorder="1" applyAlignment="1">
      <alignment horizontal="right" vertical="center" wrapText="1"/>
    </xf>
    <xf numFmtId="4" fontId="1" fillId="3" borderId="12" xfId="6" applyNumberFormat="1" applyFont="1" applyFill="1" applyBorder="1" applyAlignment="1">
      <alignment horizontal="right" vertical="center" wrapText="1"/>
    </xf>
    <xf numFmtId="2" fontId="0" fillId="3" borderId="12" xfId="0" applyNumberFormat="1" applyFill="1" applyBorder="1" applyAlignment="1">
      <alignment vertical="center"/>
    </xf>
    <xf numFmtId="0" fontId="18" fillId="3" borderId="1" xfId="0" applyFont="1" applyFill="1" applyBorder="1" applyAlignment="1">
      <alignment horizontal="center" vertical="center" wrapText="1"/>
    </xf>
    <xf numFmtId="0" fontId="18" fillId="3" borderId="1" xfId="0" applyFont="1" applyFill="1" applyBorder="1" applyAlignment="1">
      <alignment horizontal="left" vertical="center" wrapText="1"/>
    </xf>
    <xf numFmtId="3" fontId="18" fillId="3" borderId="1" xfId="0" applyNumberFormat="1" applyFont="1" applyFill="1" applyBorder="1" applyAlignment="1">
      <alignment vertical="center" wrapText="1"/>
    </xf>
    <xf numFmtId="3" fontId="7" fillId="3" borderId="1" xfId="10" applyNumberFormat="1" applyFont="1" applyFill="1" applyBorder="1" applyAlignment="1">
      <alignment vertical="center" wrapText="1"/>
    </xf>
    <xf numFmtId="4" fontId="7" fillId="3" borderId="1" xfId="10" applyNumberFormat="1" applyFont="1" applyFill="1" applyBorder="1" applyAlignment="1">
      <alignment horizontal="right" vertical="center" wrapText="1"/>
    </xf>
    <xf numFmtId="4" fontId="7" fillId="3" borderId="2" xfId="10" applyNumberFormat="1" applyFont="1" applyFill="1" applyBorder="1" applyAlignment="1">
      <alignment horizontal="right" vertical="center" wrapText="1"/>
    </xf>
    <xf numFmtId="0" fontId="7" fillId="3" borderId="0" xfId="0" applyFont="1" applyFill="1" applyAlignment="1">
      <alignment vertical="center"/>
    </xf>
    <xf numFmtId="4" fontId="7" fillId="3" borderId="12" xfId="10" applyNumberFormat="1" applyFont="1" applyFill="1" applyBorder="1" applyAlignment="1">
      <alignment horizontal="right" vertical="center" wrapText="1"/>
    </xf>
    <xf numFmtId="4" fontId="0" fillId="3" borderId="1" xfId="0" applyNumberFormat="1" applyFill="1" applyBorder="1" applyAlignment="1">
      <alignment vertical="center"/>
    </xf>
    <xf numFmtId="0" fontId="0" fillId="3" borderId="1" xfId="0" applyFill="1" applyBorder="1" applyAlignment="1">
      <alignment vertical="center"/>
    </xf>
    <xf numFmtId="0" fontId="0" fillId="3" borderId="12" xfId="0" applyFill="1" applyBorder="1" applyAlignment="1">
      <alignment vertical="center"/>
    </xf>
    <xf numFmtId="0" fontId="19" fillId="3" borderId="0" xfId="0" applyFont="1" applyFill="1" applyAlignment="1">
      <alignment vertical="center"/>
    </xf>
    <xf numFmtId="0" fontId="19" fillId="3" borderId="1" xfId="0" quotePrefix="1" applyFont="1" applyFill="1" applyBorder="1" applyAlignment="1">
      <alignment horizontal="left" vertical="center" wrapText="1"/>
    </xf>
    <xf numFmtId="3" fontId="19" fillId="3" borderId="1" xfId="0" applyNumberFormat="1" applyFont="1" applyFill="1" applyBorder="1" applyAlignment="1">
      <alignment vertical="center" wrapText="1"/>
    </xf>
    <xf numFmtId="9" fontId="19" fillId="3" borderId="1" xfId="9" applyFont="1" applyFill="1" applyBorder="1" applyAlignment="1">
      <alignment vertical="center" wrapText="1"/>
    </xf>
    <xf numFmtId="4" fontId="19" fillId="3" borderId="1" xfId="0" applyNumberFormat="1" applyFont="1" applyFill="1" applyBorder="1" applyAlignment="1">
      <alignment horizontal="right" vertical="center" wrapText="1"/>
    </xf>
    <xf numFmtId="4" fontId="19" fillId="3" borderId="2" xfId="0" applyNumberFormat="1" applyFont="1" applyFill="1" applyBorder="1" applyAlignment="1">
      <alignment horizontal="right" vertical="center" wrapText="1"/>
    </xf>
    <xf numFmtId="4" fontId="19" fillId="3" borderId="12" xfId="0" applyNumberFormat="1" applyFont="1" applyFill="1" applyBorder="1" applyAlignment="1">
      <alignment horizontal="right" vertical="center" wrapText="1"/>
    </xf>
    <xf numFmtId="0" fontId="0" fillId="3" borderId="1" xfId="0" applyFont="1" applyFill="1" applyBorder="1" applyAlignment="1">
      <alignment horizontal="center" vertical="center" wrapText="1"/>
    </xf>
    <xf numFmtId="0" fontId="0" fillId="3" borderId="1" xfId="0" applyFont="1" applyFill="1" applyBorder="1" applyAlignment="1">
      <alignment vertical="center" wrapText="1"/>
    </xf>
    <xf numFmtId="3" fontId="19" fillId="3" borderId="1" xfId="0" applyNumberFormat="1" applyFont="1" applyFill="1" applyBorder="1" applyAlignment="1">
      <alignment horizontal="right" vertical="center" wrapText="1"/>
    </xf>
    <xf numFmtId="4" fontId="0" fillId="3" borderId="2" xfId="0" applyNumberFormat="1" applyFont="1" applyFill="1" applyBorder="1" applyAlignment="1">
      <alignment horizontal="center" vertical="center" wrapText="1"/>
    </xf>
    <xf numFmtId="2" fontId="0" fillId="3" borderId="1" xfId="0" applyNumberFormat="1" applyFont="1" applyFill="1" applyBorder="1" applyAlignment="1">
      <alignment horizontal="center" vertical="center" wrapText="1"/>
    </xf>
    <xf numFmtId="3" fontId="19" fillId="3" borderId="1" xfId="6" applyNumberFormat="1" applyFont="1" applyFill="1" applyBorder="1" applyAlignment="1">
      <alignment vertical="center" wrapText="1"/>
    </xf>
    <xf numFmtId="3" fontId="20" fillId="3" borderId="1" xfId="0" applyNumberFormat="1" applyFont="1" applyFill="1" applyBorder="1" applyAlignment="1">
      <alignment vertical="center" wrapText="1"/>
    </xf>
    <xf numFmtId="165" fontId="19" fillId="3" borderId="12" xfId="6" applyFont="1" applyFill="1" applyBorder="1" applyAlignment="1">
      <alignment horizontal="right" vertical="center" wrapText="1"/>
    </xf>
    <xf numFmtId="165" fontId="1" fillId="3" borderId="12" xfId="6" applyFont="1" applyFill="1" applyBorder="1" applyAlignment="1">
      <alignment horizontal="center" vertical="center" wrapText="1"/>
    </xf>
    <xf numFmtId="0" fontId="18" fillId="3" borderId="1" xfId="0" applyFont="1" applyFill="1" applyBorder="1" applyAlignment="1">
      <alignment vertical="center" wrapText="1"/>
    </xf>
    <xf numFmtId="4" fontId="18" fillId="3" borderId="1" xfId="0" applyNumberFormat="1" applyFont="1" applyFill="1" applyBorder="1" applyAlignment="1">
      <alignment vertical="center" wrapText="1"/>
    </xf>
    <xf numFmtId="4" fontId="18" fillId="3" borderId="4" xfId="0" applyNumberFormat="1" applyFont="1" applyFill="1" applyBorder="1" applyAlignment="1">
      <alignment vertical="center" wrapText="1"/>
    </xf>
    <xf numFmtId="0" fontId="36" fillId="3" borderId="1" xfId="0" applyFont="1" applyFill="1" applyBorder="1" applyAlignment="1">
      <alignment horizontal="center" vertical="center" wrapText="1"/>
    </xf>
    <xf numFmtId="0" fontId="37" fillId="3" borderId="1" xfId="0" applyFont="1" applyFill="1" applyBorder="1" applyAlignment="1">
      <alignment vertical="center" wrapText="1"/>
    </xf>
    <xf numFmtId="3" fontId="36" fillId="3" borderId="1" xfId="0" applyNumberFormat="1" applyFont="1" applyFill="1" applyBorder="1" applyAlignment="1">
      <alignment vertical="center" wrapText="1"/>
    </xf>
    <xf numFmtId="4" fontId="36" fillId="3" borderId="1" xfId="0" applyNumberFormat="1" applyFont="1" applyFill="1" applyBorder="1" applyAlignment="1">
      <alignment horizontal="right" vertical="center" wrapText="1"/>
    </xf>
    <xf numFmtId="4" fontId="36" fillId="3" borderId="4" xfId="0" applyNumberFormat="1" applyFont="1" applyFill="1" applyBorder="1" applyAlignment="1">
      <alignment horizontal="right" vertical="center" wrapText="1"/>
    </xf>
    <xf numFmtId="0" fontId="36" fillId="3" borderId="4" xfId="0" applyFont="1" applyFill="1" applyBorder="1" applyAlignment="1">
      <alignment horizontal="right" vertical="center"/>
    </xf>
    <xf numFmtId="0" fontId="0" fillId="3" borderId="0" xfId="0" applyFont="1" applyFill="1" applyAlignment="1">
      <alignment vertical="center"/>
    </xf>
    <xf numFmtId="4" fontId="36" fillId="3" borderId="4" xfId="0" applyNumberFormat="1" applyFont="1" applyFill="1" applyBorder="1" applyAlignment="1">
      <alignment horizontal="right" vertical="center"/>
    </xf>
    <xf numFmtId="0" fontId="36" fillId="3" borderId="12" xfId="0" applyFont="1" applyFill="1" applyBorder="1" applyAlignment="1">
      <alignment horizontal="center" vertical="center" wrapText="1"/>
    </xf>
    <xf numFmtId="0" fontId="36" fillId="3" borderId="12" xfId="0" applyFont="1" applyFill="1" applyBorder="1" applyAlignment="1">
      <alignment vertical="center"/>
    </xf>
    <xf numFmtId="0" fontId="36" fillId="3" borderId="12" xfId="0" applyFont="1" applyFill="1" applyBorder="1" applyAlignment="1">
      <alignment vertical="center" wrapText="1"/>
    </xf>
    <xf numFmtId="3" fontId="36" fillId="3" borderId="12" xfId="0" applyNumberFormat="1" applyFont="1" applyFill="1" applyBorder="1" applyAlignment="1">
      <alignment horizontal="center" vertical="center"/>
    </xf>
    <xf numFmtId="3" fontId="36" fillId="3" borderId="12" xfId="0" applyNumberFormat="1" applyFont="1" applyFill="1" applyBorder="1" applyAlignment="1">
      <alignment vertical="center" wrapText="1"/>
    </xf>
    <xf numFmtId="9" fontId="19" fillId="3" borderId="12" xfId="9" applyFont="1" applyFill="1" applyBorder="1" applyAlignment="1">
      <alignment vertical="center" wrapText="1"/>
    </xf>
    <xf numFmtId="3" fontId="0" fillId="3" borderId="12" xfId="0" applyNumberFormat="1" applyFont="1" applyFill="1" applyBorder="1" applyAlignment="1">
      <alignment vertical="center"/>
    </xf>
    <xf numFmtId="4" fontId="36" fillId="3" borderId="12" xfId="0" applyNumberFormat="1" applyFont="1" applyFill="1" applyBorder="1" applyAlignment="1">
      <alignment horizontal="right" vertical="center"/>
    </xf>
    <xf numFmtId="0" fontId="0" fillId="3" borderId="11" xfId="0" applyFont="1" applyFill="1" applyBorder="1" applyAlignment="1">
      <alignment vertical="center"/>
    </xf>
    <xf numFmtId="0" fontId="2" fillId="0" borderId="0" xfId="0" applyFont="1" applyFill="1" applyAlignment="1">
      <alignment horizontal="justify" vertical="center"/>
    </xf>
    <xf numFmtId="0" fontId="31" fillId="0" borderId="0" xfId="0" applyFont="1" applyFill="1" applyAlignment="1">
      <alignment horizontal="justify" vertical="center" wrapText="1"/>
    </xf>
    <xf numFmtId="1" fontId="32" fillId="0" borderId="0" xfId="0" applyNumberFormat="1" applyFont="1" applyFill="1" applyAlignment="1">
      <alignment horizontal="justify" vertical="center"/>
    </xf>
    <xf numFmtId="0" fontId="3" fillId="0" borderId="2" xfId="0" applyFont="1" applyFill="1" applyBorder="1" applyAlignment="1">
      <alignment horizontal="justify" vertical="center"/>
    </xf>
    <xf numFmtId="0" fontId="3" fillId="0" borderId="1" xfId="0" applyFont="1" applyFill="1" applyBorder="1" applyAlignment="1">
      <alignment horizontal="justify" vertical="center"/>
    </xf>
    <xf numFmtId="0" fontId="2" fillId="0" borderId="1" xfId="0" applyFont="1" applyFill="1" applyBorder="1" applyAlignment="1">
      <alignment horizontal="justify" vertical="center" wrapText="1"/>
    </xf>
    <xf numFmtId="0" fontId="3" fillId="0" borderId="1" xfId="0" applyFont="1" applyFill="1" applyBorder="1" applyAlignment="1">
      <alignment horizontal="justify" vertical="center" wrapText="1"/>
    </xf>
    <xf numFmtId="0" fontId="2" fillId="0" borderId="12" xfId="0" applyFont="1" applyFill="1" applyBorder="1" applyAlignment="1">
      <alignment horizontal="justify" vertical="center" wrapText="1"/>
    </xf>
    <xf numFmtId="1" fontId="5" fillId="0" borderId="0" xfId="1" applyNumberFormat="1" applyFont="1" applyFill="1" applyBorder="1" applyAlignment="1">
      <alignment horizontal="justify" vertical="center"/>
    </xf>
    <xf numFmtId="1" fontId="5" fillId="0" borderId="4" xfId="8" applyNumberFormat="1" applyFont="1" applyBorder="1" applyAlignment="1">
      <alignment horizontal="justify" vertical="center" wrapText="1"/>
    </xf>
    <xf numFmtId="1" fontId="5" fillId="0" borderId="2" xfId="8" applyNumberFormat="1" applyFont="1" applyBorder="1" applyAlignment="1">
      <alignment horizontal="justify" vertical="center" wrapText="1"/>
    </xf>
    <xf numFmtId="1" fontId="7" fillId="0" borderId="1" xfId="8" applyNumberFormat="1" applyFont="1" applyBorder="1" applyAlignment="1">
      <alignment horizontal="justify" vertical="center" wrapText="1"/>
    </xf>
    <xf numFmtId="1" fontId="5" fillId="0" borderId="1" xfId="8" applyNumberFormat="1" applyFont="1" applyBorder="1" applyAlignment="1">
      <alignment horizontal="justify" vertical="center"/>
    </xf>
    <xf numFmtId="49" fontId="5" fillId="0" borderId="1" xfId="8" applyNumberFormat="1" applyFont="1" applyFill="1" applyBorder="1" applyAlignment="1">
      <alignment horizontal="justify" vertical="center" wrapText="1"/>
    </xf>
    <xf numFmtId="49" fontId="7" fillId="0" borderId="1" xfId="8" applyNumberFormat="1" applyFont="1" applyFill="1" applyBorder="1" applyAlignment="1">
      <alignment horizontal="justify" vertical="center" wrapText="1"/>
    </xf>
    <xf numFmtId="49" fontId="7" fillId="0" borderId="12" xfId="8" applyNumberFormat="1" applyFont="1" applyFill="1" applyBorder="1" applyAlignment="1">
      <alignment horizontal="justify" vertical="center" wrapText="1"/>
    </xf>
    <xf numFmtId="49" fontId="5" fillId="4" borderId="17" xfId="8" applyNumberFormat="1" applyFont="1" applyFill="1" applyBorder="1" applyAlignment="1">
      <alignment horizontal="justify" vertical="center" wrapText="1"/>
    </xf>
    <xf numFmtId="49" fontId="7" fillId="4" borderId="1" xfId="8" applyNumberFormat="1" applyFont="1" applyFill="1" applyBorder="1" applyAlignment="1">
      <alignment horizontal="justify" vertical="center" wrapText="1"/>
    </xf>
    <xf numFmtId="49" fontId="5" fillId="4" borderId="1" xfId="8" applyNumberFormat="1" applyFont="1" applyFill="1" applyBorder="1" applyAlignment="1">
      <alignment horizontal="justify" vertical="center" wrapText="1"/>
    </xf>
    <xf numFmtId="49" fontId="7" fillId="4" borderId="12" xfId="8" applyNumberFormat="1" applyFont="1" applyFill="1" applyBorder="1" applyAlignment="1">
      <alignment horizontal="justify" vertical="center" wrapText="1"/>
    </xf>
    <xf numFmtId="1" fontId="7" fillId="0" borderId="0" xfId="8" applyNumberFormat="1" applyFont="1" applyAlignment="1">
      <alignment horizontal="justify" vertical="center"/>
    </xf>
    <xf numFmtId="0" fontId="5" fillId="0" borderId="4" xfId="8" applyFont="1" applyFill="1" applyBorder="1" applyAlignment="1">
      <alignment horizontal="justify" vertical="center" wrapText="1"/>
    </xf>
    <xf numFmtId="0" fontId="5" fillId="0" borderId="2" xfId="8" applyFont="1" applyFill="1" applyBorder="1" applyAlignment="1">
      <alignment horizontal="justify" vertical="center" wrapText="1"/>
    </xf>
    <xf numFmtId="0" fontId="5" fillId="0" borderId="1" xfId="8" applyFont="1" applyFill="1" applyBorder="1" applyAlignment="1">
      <alignment horizontal="justify" vertical="center" wrapText="1"/>
    </xf>
    <xf numFmtId="0" fontId="7" fillId="0" borderId="1" xfId="8" applyFont="1" applyFill="1" applyBorder="1" applyAlignment="1">
      <alignment horizontal="justify" vertical="center" wrapText="1"/>
    </xf>
    <xf numFmtId="0" fontId="7" fillId="0" borderId="12" xfId="8" applyFont="1" applyFill="1" applyBorder="1" applyAlignment="1">
      <alignment horizontal="justify" vertical="center" wrapText="1"/>
    </xf>
    <xf numFmtId="0" fontId="5" fillId="4" borderId="17" xfId="8" applyFont="1" applyFill="1" applyBorder="1" applyAlignment="1">
      <alignment horizontal="justify" vertical="center" wrapText="1"/>
    </xf>
    <xf numFmtId="0" fontId="7" fillId="4" borderId="1" xfId="8" applyFont="1" applyFill="1" applyBorder="1" applyAlignment="1">
      <alignment horizontal="justify" vertical="center" wrapText="1"/>
    </xf>
    <xf numFmtId="0" fontId="5" fillId="4" borderId="1" xfId="8" applyFont="1" applyFill="1" applyBorder="1" applyAlignment="1">
      <alignment horizontal="justify" vertical="center" wrapText="1"/>
    </xf>
    <xf numFmtId="0" fontId="7" fillId="4" borderId="12" xfId="8" applyFont="1" applyFill="1" applyBorder="1" applyAlignment="1">
      <alignment horizontal="justify" vertical="center" wrapText="1"/>
    </xf>
    <xf numFmtId="0" fontId="7" fillId="0" borderId="0" xfId="8" applyFont="1" applyFill="1" applyAlignment="1">
      <alignment horizontal="justify" vertical="center" wrapText="1"/>
    </xf>
    <xf numFmtId="3" fontId="2" fillId="0" borderId="0" xfId="0" applyNumberFormat="1" applyFont="1" applyFill="1" applyAlignment="1">
      <alignment horizontal="justify" vertical="center" wrapText="1"/>
    </xf>
    <xf numFmtId="3" fontId="3" fillId="0" borderId="4" xfId="0" applyNumberFormat="1" applyFont="1" applyFill="1" applyBorder="1" applyAlignment="1">
      <alignment horizontal="justify" vertical="center" wrapText="1"/>
    </xf>
    <xf numFmtId="3" fontId="3" fillId="0" borderId="2" xfId="0" applyNumberFormat="1" applyFont="1" applyFill="1" applyBorder="1" applyAlignment="1">
      <alignment horizontal="justify" vertical="center" wrapText="1"/>
    </xf>
    <xf numFmtId="3" fontId="2" fillId="0" borderId="1" xfId="0" applyNumberFormat="1" applyFont="1" applyFill="1" applyBorder="1" applyAlignment="1">
      <alignment horizontal="justify" vertical="center" wrapText="1"/>
    </xf>
    <xf numFmtId="3" fontId="3" fillId="0" borderId="1" xfId="0" applyNumberFormat="1" applyFont="1" applyFill="1" applyBorder="1" applyAlignment="1">
      <alignment horizontal="justify" vertical="center" wrapText="1"/>
    </xf>
    <xf numFmtId="3" fontId="5" fillId="0" borderId="1" xfId="0" applyNumberFormat="1" applyFont="1" applyFill="1" applyBorder="1" applyAlignment="1">
      <alignment horizontal="justify" vertical="center" wrapText="1"/>
    </xf>
    <xf numFmtId="3" fontId="7" fillId="0" borderId="1" xfId="0" applyNumberFormat="1" applyFont="1" applyFill="1" applyBorder="1" applyAlignment="1">
      <alignment horizontal="justify" vertical="center" wrapText="1"/>
    </xf>
    <xf numFmtId="3" fontId="7" fillId="0" borderId="12" xfId="0" applyNumberFormat="1" applyFont="1" applyFill="1" applyBorder="1" applyAlignment="1">
      <alignment horizontal="justify" vertical="center" wrapText="1"/>
    </xf>
    <xf numFmtId="0" fontId="0" fillId="0" borderId="0" xfId="0" applyFill="1" applyAlignment="1">
      <alignment horizontal="justify" vertical="center" wrapText="1"/>
    </xf>
    <xf numFmtId="0" fontId="39" fillId="0" borderId="0" xfId="1" applyFont="1" applyFill="1" applyBorder="1" applyAlignment="1">
      <alignment horizontal="center" vertical="center" wrapText="1"/>
    </xf>
    <xf numFmtId="0" fontId="39" fillId="0" borderId="0" xfId="1"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3" xfId="1" applyFont="1" applyFill="1" applyBorder="1" applyAlignment="1">
      <alignment horizontal="center" vertical="center" wrapText="1"/>
    </xf>
    <xf numFmtId="0" fontId="5" fillId="0" borderId="7" xfId="1" applyFont="1" applyFill="1" applyBorder="1" applyAlignment="1">
      <alignment horizontal="center" vertical="center" wrapText="1"/>
    </xf>
    <xf numFmtId="0" fontId="10" fillId="0" borderId="0" xfId="0" applyFont="1" applyFill="1" applyBorder="1" applyAlignment="1">
      <alignment horizontal="center" vertical="center" wrapText="1"/>
    </xf>
    <xf numFmtId="1" fontId="26" fillId="0" borderId="0" xfId="0" applyNumberFormat="1" applyFont="1" applyFill="1" applyBorder="1" applyAlignment="1">
      <alignment horizontal="center" vertical="center" wrapText="1"/>
    </xf>
    <xf numFmtId="0" fontId="26" fillId="0" borderId="0" xfId="0" applyFont="1" applyFill="1" applyBorder="1" applyAlignment="1">
      <alignment horizontal="center" vertical="center" wrapText="1"/>
    </xf>
    <xf numFmtId="0" fontId="5" fillId="0" borderId="4" xfId="1" applyFont="1" applyFill="1" applyBorder="1" applyAlignment="1">
      <alignment horizontal="center" vertical="center" wrapText="1"/>
    </xf>
    <xf numFmtId="0" fontId="26" fillId="0" borderId="9" xfId="0" applyFont="1" applyFill="1" applyBorder="1" applyAlignment="1">
      <alignment horizontal="center" vertical="center"/>
    </xf>
    <xf numFmtId="0" fontId="5" fillId="0" borderId="5" xfId="1" applyFont="1" applyFill="1" applyBorder="1" applyAlignment="1">
      <alignment horizontal="center" vertical="center" wrapText="1"/>
    </xf>
    <xf numFmtId="0" fontId="5" fillId="0" borderId="10" xfId="1" applyFont="1" applyFill="1" applyBorder="1" applyAlignment="1">
      <alignment horizontal="center" vertical="center" wrapText="1"/>
    </xf>
    <xf numFmtId="0" fontId="5" fillId="0" borderId="8" xfId="1" applyFont="1" applyFill="1" applyBorder="1" applyAlignment="1">
      <alignment horizontal="center" vertical="center" wrapText="1"/>
    </xf>
    <xf numFmtId="0" fontId="31" fillId="0" borderId="0" xfId="0" applyFont="1" applyFill="1" applyAlignment="1">
      <alignment horizontal="center" vertical="center" wrapText="1"/>
    </xf>
    <xf numFmtId="1" fontId="32" fillId="0" borderId="0" xfId="0" applyNumberFormat="1" applyFont="1" applyFill="1" applyAlignment="1">
      <alignment horizontal="center" vertical="center"/>
    </xf>
    <xf numFmtId="0" fontId="42" fillId="0" borderId="0" xfId="0" applyFont="1" applyFill="1" applyAlignment="1">
      <alignment horizontal="center" vertical="center" wrapText="1"/>
    </xf>
    <xf numFmtId="0" fontId="3" fillId="0" borderId="5"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42" fillId="0" borderId="0" xfId="0" applyFont="1" applyFill="1" applyAlignment="1">
      <alignment horizontal="center" vertical="center"/>
    </xf>
    <xf numFmtId="0" fontId="3" fillId="0" borderId="0" xfId="0" applyFont="1" applyFill="1" applyAlignment="1">
      <alignment horizontal="center" vertical="center"/>
    </xf>
    <xf numFmtId="0" fontId="3" fillId="0" borderId="13" xfId="0" applyFont="1" applyFill="1" applyBorder="1" applyAlignment="1">
      <alignment horizontal="center" vertical="center"/>
    </xf>
    <xf numFmtId="0" fontId="4" fillId="0" borderId="9" xfId="0" applyFont="1" applyFill="1" applyBorder="1" applyAlignment="1">
      <alignment horizontal="center" vertical="center"/>
    </xf>
    <xf numFmtId="0" fontId="3" fillId="0" borderId="4" xfId="0" applyFont="1" applyFill="1" applyBorder="1" applyAlignment="1">
      <alignment horizontal="justify" vertical="center" wrapText="1"/>
    </xf>
    <xf numFmtId="4" fontId="26" fillId="0" borderId="9" xfId="8" applyNumberFormat="1" applyFont="1" applyFill="1" applyBorder="1" applyAlignment="1">
      <alignment horizontal="center" vertical="center" wrapText="1"/>
    </xf>
    <xf numFmtId="0" fontId="8"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0" xfId="1" applyFont="1" applyFill="1" applyBorder="1" applyAlignment="1">
      <alignment horizontal="center" vertical="center"/>
    </xf>
    <xf numFmtId="0" fontId="42" fillId="0" borderId="0" xfId="1" applyFont="1" applyFill="1" applyBorder="1" applyAlignment="1">
      <alignment horizontal="center" vertical="center" wrapText="1"/>
    </xf>
    <xf numFmtId="0" fontId="42" fillId="0" borderId="0" xfId="1" applyFont="1" applyFill="1" applyBorder="1" applyAlignment="1">
      <alignment horizontal="center" vertical="center"/>
    </xf>
    <xf numFmtId="0" fontId="8" fillId="0" borderId="0" xfId="1" applyFont="1" applyFill="1" applyBorder="1" applyAlignment="1">
      <alignment horizontal="center" vertical="center" wrapText="1"/>
    </xf>
    <xf numFmtId="0" fontId="8" fillId="0" borderId="0" xfId="1" applyFont="1" applyFill="1" applyBorder="1" applyAlignment="1">
      <alignment horizontal="center" vertical="center"/>
    </xf>
    <xf numFmtId="1" fontId="27" fillId="0" borderId="0" xfId="0" applyNumberFormat="1" applyFont="1" applyFill="1" applyBorder="1" applyAlignment="1">
      <alignment horizontal="center" vertical="center" wrapText="1"/>
    </xf>
    <xf numFmtId="1" fontId="8" fillId="0" borderId="9" xfId="0" applyNumberFormat="1" applyFont="1" applyFill="1" applyBorder="1" applyAlignment="1">
      <alignment horizontal="center" vertical="center" wrapText="1"/>
    </xf>
    <xf numFmtId="3" fontId="7" fillId="0" borderId="3" xfId="8" applyNumberFormat="1" applyFont="1" applyBorder="1" applyAlignment="1">
      <alignment horizontal="center" vertical="center" wrapText="1"/>
    </xf>
    <xf numFmtId="3" fontId="7" fillId="0" borderId="11" xfId="8" applyNumberFormat="1" applyFont="1" applyBorder="1" applyAlignment="1">
      <alignment horizontal="center" vertical="center" wrapText="1"/>
    </xf>
    <xf numFmtId="3" fontId="7" fillId="0" borderId="7" xfId="8" applyNumberFormat="1" applyFont="1" applyBorder="1" applyAlignment="1">
      <alignment horizontal="center" vertical="center" wrapText="1"/>
    </xf>
    <xf numFmtId="1" fontId="5" fillId="0" borderId="0" xfId="0" applyNumberFormat="1" applyFont="1" applyFill="1" applyBorder="1" applyAlignment="1">
      <alignment horizontal="center" vertical="center" wrapText="1"/>
    </xf>
    <xf numFmtId="3" fontId="34" fillId="0" borderId="3" xfId="8" applyNumberFormat="1" applyFont="1" applyBorder="1" applyAlignment="1">
      <alignment horizontal="center" vertical="center" wrapText="1"/>
    </xf>
    <xf numFmtId="3" fontId="34" fillId="0" borderId="7" xfId="8" applyNumberFormat="1" applyFont="1" applyBorder="1" applyAlignment="1">
      <alignment horizontal="center" vertical="center" wrapText="1"/>
    </xf>
    <xf numFmtId="3" fontId="34" fillId="0" borderId="15" xfId="8" applyNumberFormat="1" applyFont="1" applyBorder="1" applyAlignment="1">
      <alignment horizontal="center" vertical="center" wrapText="1"/>
    </xf>
    <xf numFmtId="3" fontId="34" fillId="0" borderId="6" xfId="8" applyNumberFormat="1" applyFont="1" applyBorder="1" applyAlignment="1">
      <alignment horizontal="center" vertical="center" wrapText="1"/>
    </xf>
    <xf numFmtId="3" fontId="34" fillId="0" borderId="16" xfId="8" applyNumberFormat="1" applyFont="1" applyBorder="1" applyAlignment="1">
      <alignment horizontal="center" vertical="center" wrapText="1"/>
    </xf>
    <xf numFmtId="3" fontId="34" fillId="0" borderId="5" xfId="8" applyNumberFormat="1" applyFont="1" applyBorder="1" applyAlignment="1">
      <alignment horizontal="center" vertical="center" wrapText="1"/>
    </xf>
    <xf numFmtId="3" fontId="34" fillId="0" borderId="10" xfId="8" applyNumberFormat="1" applyFont="1" applyBorder="1" applyAlignment="1">
      <alignment horizontal="center" vertical="center" wrapText="1"/>
    </xf>
    <xf numFmtId="3" fontId="34" fillId="0" borderId="8" xfId="8" applyNumberFormat="1" applyFont="1" applyBorder="1" applyAlignment="1">
      <alignment horizontal="center" vertical="center" wrapText="1"/>
    </xf>
    <xf numFmtId="0" fontId="43" fillId="3" borderId="0" xfId="0" applyFont="1" applyFill="1" applyAlignment="1">
      <alignment horizontal="center" vertical="center" wrapText="1"/>
    </xf>
    <xf numFmtId="0" fontId="43" fillId="3" borderId="0" xfId="0" applyFont="1" applyFill="1" applyAlignment="1">
      <alignment horizontal="center" vertical="center"/>
    </xf>
    <xf numFmtId="0" fontId="23" fillId="3" borderId="9" xfId="0" applyFont="1" applyFill="1" applyBorder="1" applyAlignment="1">
      <alignment horizontal="center" vertical="center"/>
    </xf>
    <xf numFmtId="0" fontId="18" fillId="3" borderId="0" xfId="0" applyFont="1" applyFill="1" applyAlignment="1">
      <alignment horizontal="center" vertical="center" wrapText="1"/>
    </xf>
    <xf numFmtId="1" fontId="23" fillId="3" borderId="0" xfId="0" applyNumberFormat="1" applyFont="1" applyFill="1" applyAlignment="1">
      <alignment horizontal="center" vertical="center"/>
    </xf>
    <xf numFmtId="0" fontId="23" fillId="3" borderId="0" xfId="0" applyFont="1" applyFill="1" applyAlignment="1">
      <alignment horizontal="center" vertical="center"/>
    </xf>
    <xf numFmtId="0" fontId="0" fillId="3" borderId="4" xfId="0" applyFill="1" applyBorder="1" applyAlignment="1">
      <alignment horizontal="center" vertical="center" wrapText="1"/>
    </xf>
    <xf numFmtId="0" fontId="18" fillId="3" borderId="1" xfId="0" applyFont="1" applyFill="1" applyBorder="1" applyAlignment="1">
      <alignment horizontal="left" vertical="center" wrapText="1"/>
    </xf>
    <xf numFmtId="0" fontId="18" fillId="3" borderId="17" xfId="0" applyFont="1" applyFill="1" applyBorder="1" applyAlignment="1">
      <alignment horizontal="left" vertical="center" wrapText="1"/>
    </xf>
    <xf numFmtId="0" fontId="18" fillId="3" borderId="4" xfId="0" applyFont="1" applyFill="1" applyBorder="1" applyAlignment="1">
      <alignment horizontal="center" vertical="center" wrapText="1"/>
    </xf>
    <xf numFmtId="3" fontId="16" fillId="0" borderId="0" xfId="8" applyNumberFormat="1" applyFont="1" applyBorder="1" applyAlignment="1">
      <alignment horizontal="center" vertical="center" wrapText="1"/>
    </xf>
    <xf numFmtId="3" fontId="25" fillId="0" borderId="9" xfId="8" applyNumberFormat="1" applyFont="1" applyBorder="1" applyAlignment="1">
      <alignment horizontal="center" vertical="center" wrapText="1"/>
    </xf>
    <xf numFmtId="3" fontId="39" fillId="0" borderId="0" xfId="1" applyNumberFormat="1" applyFont="1" applyFill="1" applyBorder="1" applyAlignment="1">
      <alignment horizontal="center" vertical="center" wrapText="1"/>
    </xf>
    <xf numFmtId="3" fontId="39" fillId="0" borderId="0" xfId="1" applyNumberFormat="1" applyFont="1" applyFill="1" applyBorder="1" applyAlignment="1">
      <alignment horizontal="center" vertical="center"/>
    </xf>
    <xf numFmtId="0" fontId="23" fillId="0" borderId="9" xfId="8" applyFont="1" applyFill="1" applyBorder="1" applyAlignment="1">
      <alignment horizontal="center" wrapText="1"/>
    </xf>
    <xf numFmtId="3" fontId="42" fillId="0" borderId="0" xfId="1" applyNumberFormat="1" applyFont="1" applyFill="1" applyBorder="1" applyAlignment="1">
      <alignment horizontal="center" vertical="center" wrapText="1"/>
    </xf>
    <xf numFmtId="3" fontId="42" fillId="0" borderId="0" xfId="1" applyNumberFormat="1" applyFont="1" applyFill="1" applyBorder="1" applyAlignment="1">
      <alignment horizontal="center" vertical="center"/>
    </xf>
    <xf numFmtId="3" fontId="5" fillId="0" borderId="0" xfId="0" applyNumberFormat="1" applyFont="1" applyFill="1" applyBorder="1" applyAlignment="1">
      <alignment horizontal="center" vertical="center" wrapText="1"/>
    </xf>
    <xf numFmtId="3" fontId="8" fillId="0" borderId="0" xfId="0" applyNumberFormat="1" applyFont="1" applyFill="1" applyBorder="1" applyAlignment="1">
      <alignment horizontal="center" vertical="center" wrapText="1"/>
    </xf>
    <xf numFmtId="1" fontId="5" fillId="0" borderId="0" xfId="1" applyNumberFormat="1" applyFont="1" applyFill="1" applyBorder="1" applyAlignment="1">
      <alignment horizontal="center" vertical="center"/>
    </xf>
    <xf numFmtId="1" fontId="8" fillId="0" borderId="0" xfId="0" applyNumberFormat="1" applyFont="1" applyFill="1" applyBorder="1" applyAlignment="1">
      <alignment horizontal="center" vertical="center" wrapText="1"/>
    </xf>
    <xf numFmtId="1" fontId="42" fillId="0" borderId="0" xfId="1" applyNumberFormat="1" applyFont="1" applyAlignment="1">
      <alignment horizontal="center" vertical="center" wrapText="1"/>
    </xf>
    <xf numFmtId="0" fontId="18" fillId="0" borderId="0" xfId="0" applyFont="1" applyAlignment="1">
      <alignment horizontal="center" vertical="center" wrapText="1"/>
    </xf>
    <xf numFmtId="0" fontId="18" fillId="0" borderId="0" xfId="8" applyFont="1" applyAlignment="1">
      <alignment horizontal="center" vertical="center" wrapText="1"/>
    </xf>
    <xf numFmtId="1" fontId="23" fillId="0" borderId="9" xfId="0" applyNumberFormat="1" applyFont="1" applyBorder="1" applyAlignment="1">
      <alignment horizontal="center" vertical="top" wrapText="1"/>
    </xf>
    <xf numFmtId="0" fontId="23" fillId="0" borderId="9" xfId="0" applyFont="1" applyBorder="1" applyAlignment="1">
      <alignment horizontal="center" vertical="top" wrapText="1"/>
    </xf>
    <xf numFmtId="1" fontId="42" fillId="0" borderId="0" xfId="1" applyNumberFormat="1" applyFont="1" applyFill="1" applyBorder="1" applyAlignment="1">
      <alignment horizontal="center" vertical="center" wrapText="1"/>
    </xf>
    <xf numFmtId="1" fontId="5" fillId="4" borderId="17" xfId="0" applyNumberFormat="1" applyFont="1" applyFill="1" applyBorder="1" applyAlignment="1">
      <alignment vertical="center" wrapText="1"/>
    </xf>
    <xf numFmtId="1" fontId="5" fillId="4" borderId="12" xfId="0" applyNumberFormat="1" applyFont="1" applyFill="1" applyBorder="1" applyAlignment="1">
      <alignment vertical="center" wrapText="1"/>
    </xf>
    <xf numFmtId="1" fontId="5" fillId="0" borderId="12" xfId="0" applyNumberFormat="1" applyFont="1" applyFill="1" applyBorder="1" applyAlignment="1">
      <alignment horizontal="center" vertical="center" wrapText="1"/>
    </xf>
    <xf numFmtId="0" fontId="18" fillId="0" borderId="0" xfId="8" applyFont="1" applyBorder="1" applyAlignment="1">
      <alignment horizontal="center" vertical="center" wrapText="1"/>
    </xf>
    <xf numFmtId="1" fontId="23" fillId="0" borderId="9" xfId="8" applyNumberFormat="1" applyFont="1" applyBorder="1" applyAlignment="1">
      <alignment horizontal="center" vertical="center" wrapText="1"/>
    </xf>
    <xf numFmtId="1" fontId="5" fillId="0" borderId="4" xfId="0" applyNumberFormat="1" applyFont="1" applyFill="1" applyBorder="1" applyAlignment="1">
      <alignment horizontal="center" vertical="center" wrapText="1"/>
    </xf>
    <xf numFmtId="3" fontId="5" fillId="0" borderId="3" xfId="0" applyNumberFormat="1" applyFont="1" applyFill="1" applyBorder="1" applyAlignment="1">
      <alignment horizontal="center" vertical="center" wrapText="1"/>
    </xf>
    <xf numFmtId="3" fontId="5" fillId="0" borderId="7" xfId="0" applyNumberFormat="1" applyFont="1" applyFill="1" applyBorder="1" applyAlignment="1">
      <alignment horizontal="center" vertical="center" wrapText="1"/>
    </xf>
    <xf numFmtId="0" fontId="18" fillId="0" borderId="0" xfId="0" applyFont="1" applyBorder="1" applyAlignment="1">
      <alignment horizontal="center" vertical="center" wrapText="1"/>
    </xf>
    <xf numFmtId="1" fontId="42" fillId="0" borderId="0" xfId="1" applyNumberFormat="1" applyFont="1" applyFill="1" applyBorder="1" applyAlignment="1">
      <alignment horizontal="center" vertical="center"/>
    </xf>
    <xf numFmtId="0" fontId="16" fillId="0" borderId="0" xfId="0" applyFont="1" applyBorder="1" applyAlignment="1">
      <alignment horizontal="center" vertical="center" wrapText="1"/>
    </xf>
    <xf numFmtId="1" fontId="23" fillId="0" borderId="0" xfId="0" applyNumberFormat="1" applyFont="1" applyBorder="1" applyAlignment="1">
      <alignment horizontal="center" vertical="center" wrapText="1"/>
    </xf>
    <xf numFmtId="0" fontId="23" fillId="0" borderId="0" xfId="0" applyFont="1" applyBorder="1" applyAlignment="1">
      <alignment horizontal="center" vertical="center" wrapText="1"/>
    </xf>
    <xf numFmtId="0" fontId="18" fillId="0" borderId="0" xfId="0" applyFont="1" applyFill="1" applyBorder="1" applyAlignment="1">
      <alignment horizontal="center" vertical="center" wrapText="1"/>
    </xf>
    <xf numFmtId="0" fontId="18" fillId="0" borderId="0" xfId="8" applyFont="1" applyFill="1" applyBorder="1" applyAlignment="1">
      <alignment horizontal="center" vertical="center" wrapText="1"/>
    </xf>
    <xf numFmtId="1" fontId="23" fillId="0" borderId="0" xfId="0" applyNumberFormat="1" applyFont="1" applyFill="1" applyBorder="1" applyAlignment="1">
      <alignment horizontal="center" vertical="center" wrapText="1"/>
    </xf>
    <xf numFmtId="0" fontId="23" fillId="0" borderId="0" xfId="0" applyFont="1" applyFill="1" applyBorder="1" applyAlignment="1">
      <alignment horizontal="center" vertical="center" wrapText="1"/>
    </xf>
    <xf numFmtId="3" fontId="42" fillId="0" borderId="0" xfId="0" applyNumberFormat="1" applyFont="1" applyFill="1" applyAlignment="1">
      <alignment horizontal="center" vertical="center" wrapText="1"/>
    </xf>
    <xf numFmtId="3" fontId="3" fillId="0" borderId="0" xfId="0" applyNumberFormat="1" applyFont="1" applyFill="1" applyAlignment="1">
      <alignment horizontal="center" vertical="center" wrapText="1"/>
    </xf>
    <xf numFmtId="3" fontId="8" fillId="0" borderId="9" xfId="0" applyNumberFormat="1" applyFont="1" applyFill="1" applyBorder="1" applyAlignment="1">
      <alignment horizontal="center" vertical="center" wrapText="1"/>
    </xf>
    <xf numFmtId="0" fontId="39" fillId="0" borderId="0" xfId="0" applyFont="1" applyFill="1" applyAlignment="1">
      <alignment horizontal="center" vertical="center" wrapText="1"/>
    </xf>
    <xf numFmtId="0" fontId="27" fillId="0" borderId="6" xfId="0" applyFont="1" applyFill="1" applyBorder="1" applyAlignment="1">
      <alignment horizontal="left" vertical="center" wrapText="1"/>
    </xf>
    <xf numFmtId="0" fontId="27" fillId="0" borderId="1"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5" fillId="0" borderId="4" xfId="0" applyFont="1" applyFill="1" applyBorder="1" applyAlignment="1">
      <alignment horizontal="center" vertical="center" wrapText="1"/>
    </xf>
    <xf numFmtId="0" fontId="10" fillId="0" borderId="9" xfId="0" applyFont="1" applyFill="1" applyBorder="1" applyAlignment="1">
      <alignment horizontal="left" vertical="center" wrapText="1"/>
    </xf>
    <xf numFmtId="0" fontId="27" fillId="0" borderId="3"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10"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21" xfId="0" applyFont="1" applyFill="1" applyBorder="1" applyAlignment="1">
      <alignment horizontal="center" vertical="center" wrapText="1"/>
    </xf>
    <xf numFmtId="0" fontId="27" fillId="0" borderId="2" xfId="0" applyFont="1" applyFill="1" applyBorder="1" applyAlignment="1">
      <alignment horizontal="center" vertical="center" wrapText="1"/>
    </xf>
  </cellXfs>
  <cellStyles count="11">
    <cellStyle name="Bình thường 2" xfId="1"/>
    <cellStyle name="Bình thường 3" xfId="2"/>
    <cellStyle name="Chuẩn 2" xfId="3"/>
    <cellStyle name="Comma" xfId="6" builtinId="3"/>
    <cellStyle name="Comma [0]" xfId="10" builtinId="6"/>
    <cellStyle name="Comma 2" xfId="4"/>
    <cellStyle name="Comma 3" xfId="5"/>
    <cellStyle name="Normal" xfId="0" builtinId="0"/>
    <cellStyle name="Normal 2" xfId="7"/>
    <cellStyle name="Normal 3" xfId="8"/>
    <cellStyle name="Percent" xfId="9"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S37"/>
  <sheetViews>
    <sheetView tabSelected="1" zoomScale="85" zoomScaleNormal="85" zoomScaleSheetLayoutView="48" zoomScalePageLayoutView="55" workbookViewId="0">
      <selection activeCell="N1" sqref="N1:P1"/>
    </sheetView>
  </sheetViews>
  <sheetFormatPr defaultColWidth="9" defaultRowHeight="18.75" x14ac:dyDescent="0.25"/>
  <cols>
    <col min="1" max="1" width="7.25" style="297" customWidth="1"/>
    <col min="2" max="2" width="65.375" style="297" customWidth="1"/>
    <col min="3" max="3" width="13.5" style="297" hidden="1" customWidth="1"/>
    <col min="4" max="6" width="12" style="298" customWidth="1"/>
    <col min="7" max="7" width="17.875" style="298" hidden="1" customWidth="1"/>
    <col min="8" max="9" width="13.5" style="298" hidden="1" customWidth="1"/>
    <col min="10" max="15" width="13.5" style="298" customWidth="1"/>
    <col min="16" max="16" width="24.625" style="297" customWidth="1"/>
    <col min="17" max="17" width="14.625" style="297" bestFit="1" customWidth="1"/>
    <col min="18" max="16384" width="9" style="297"/>
  </cols>
  <sheetData>
    <row r="1" spans="1:19" ht="41.25" customHeight="1" x14ac:dyDescent="0.25">
      <c r="A1" s="293"/>
      <c r="B1" s="293"/>
      <c r="C1" s="293"/>
      <c r="D1" s="294"/>
      <c r="E1" s="294"/>
      <c r="F1" s="294"/>
      <c r="G1" s="515"/>
      <c r="H1" s="515"/>
      <c r="I1" s="515"/>
      <c r="J1" s="293"/>
      <c r="K1" s="293"/>
      <c r="L1" s="293"/>
      <c r="M1" s="293"/>
      <c r="N1" s="754" t="s">
        <v>608</v>
      </c>
      <c r="O1" s="755"/>
      <c r="P1" s="755"/>
    </row>
    <row r="2" spans="1:19" ht="58.5" customHeight="1" x14ac:dyDescent="0.25">
      <c r="A2" s="760" t="s">
        <v>258</v>
      </c>
      <c r="B2" s="760"/>
      <c r="C2" s="760"/>
      <c r="D2" s="760"/>
      <c r="E2" s="760"/>
      <c r="F2" s="760"/>
      <c r="G2" s="760"/>
      <c r="H2" s="760"/>
      <c r="I2" s="760"/>
      <c r="J2" s="760"/>
      <c r="K2" s="760"/>
      <c r="L2" s="760"/>
      <c r="M2" s="760"/>
      <c r="N2" s="760"/>
      <c r="O2" s="760"/>
      <c r="P2" s="760"/>
    </row>
    <row r="3" spans="1:19" ht="31.5" customHeight="1" x14ac:dyDescent="0.25">
      <c r="A3" s="761" t="s">
        <v>607</v>
      </c>
      <c r="B3" s="762"/>
      <c r="C3" s="762"/>
      <c r="D3" s="762"/>
      <c r="E3" s="762"/>
      <c r="F3" s="762"/>
      <c r="G3" s="762"/>
      <c r="H3" s="762"/>
      <c r="I3" s="762"/>
      <c r="J3" s="762"/>
      <c r="K3" s="762"/>
      <c r="L3" s="762"/>
      <c r="M3" s="762"/>
      <c r="N3" s="762"/>
      <c r="O3" s="762"/>
      <c r="P3" s="762"/>
    </row>
    <row r="4" spans="1:19" s="295" customFormat="1" x14ac:dyDescent="0.25">
      <c r="D4" s="296"/>
      <c r="E4" s="296"/>
      <c r="F4" s="296"/>
      <c r="G4" s="296"/>
      <c r="H4" s="296"/>
      <c r="I4" s="296"/>
      <c r="J4" s="296"/>
      <c r="K4" s="296"/>
      <c r="L4" s="296"/>
      <c r="M4" s="296"/>
      <c r="N4" s="296"/>
      <c r="O4" s="296"/>
    </row>
    <row r="5" spans="1:19" ht="23.25" customHeight="1" x14ac:dyDescent="0.25">
      <c r="N5" s="764" t="s">
        <v>0</v>
      </c>
      <c r="O5" s="764"/>
      <c r="P5" s="764"/>
    </row>
    <row r="6" spans="1:19" s="517" customFormat="1" ht="42" customHeight="1" x14ac:dyDescent="0.25">
      <c r="A6" s="756" t="s">
        <v>1</v>
      </c>
      <c r="B6" s="756" t="s">
        <v>2</v>
      </c>
      <c r="C6" s="756" t="s">
        <v>566</v>
      </c>
      <c r="D6" s="765" t="s">
        <v>586</v>
      </c>
      <c r="E6" s="766"/>
      <c r="F6" s="767"/>
      <c r="G6" s="763" t="s">
        <v>588</v>
      </c>
      <c r="H6" s="756" t="s">
        <v>599</v>
      </c>
      <c r="I6" s="756" t="s">
        <v>600</v>
      </c>
      <c r="J6" s="763" t="s">
        <v>213</v>
      </c>
      <c r="K6" s="763"/>
      <c r="L6" s="763"/>
      <c r="M6" s="763" t="s">
        <v>214</v>
      </c>
      <c r="N6" s="763"/>
      <c r="O6" s="763"/>
      <c r="P6" s="758" t="s">
        <v>3</v>
      </c>
    </row>
    <row r="7" spans="1:19" s="517" customFormat="1" ht="42" customHeight="1" x14ac:dyDescent="0.25">
      <c r="A7" s="757"/>
      <c r="B7" s="757"/>
      <c r="C7" s="757"/>
      <c r="D7" s="358" t="s">
        <v>33</v>
      </c>
      <c r="E7" s="358" t="s">
        <v>144</v>
      </c>
      <c r="F7" s="358" t="s">
        <v>212</v>
      </c>
      <c r="G7" s="763"/>
      <c r="H7" s="757"/>
      <c r="I7" s="757"/>
      <c r="J7" s="358" t="s">
        <v>33</v>
      </c>
      <c r="K7" s="358" t="s">
        <v>144</v>
      </c>
      <c r="L7" s="358" t="s">
        <v>212</v>
      </c>
      <c r="M7" s="358" t="s">
        <v>33</v>
      </c>
      <c r="N7" s="358" t="s">
        <v>144</v>
      </c>
      <c r="O7" s="358" t="s">
        <v>212</v>
      </c>
      <c r="P7" s="759"/>
    </row>
    <row r="8" spans="1:19" s="615" customFormat="1" ht="24" customHeight="1" x14ac:dyDescent="0.25">
      <c r="A8" s="614">
        <v>1</v>
      </c>
      <c r="B8" s="614">
        <v>2</v>
      </c>
      <c r="C8" s="614">
        <v>3</v>
      </c>
      <c r="D8" s="614" t="s">
        <v>215</v>
      </c>
      <c r="E8" s="614">
        <v>5</v>
      </c>
      <c r="F8" s="614">
        <v>6</v>
      </c>
      <c r="G8" s="614">
        <v>5</v>
      </c>
      <c r="H8" s="614">
        <v>6</v>
      </c>
      <c r="I8" s="614" t="s">
        <v>589</v>
      </c>
      <c r="J8" s="614" t="s">
        <v>590</v>
      </c>
      <c r="K8" s="614">
        <v>9</v>
      </c>
      <c r="L8" s="614">
        <v>10</v>
      </c>
      <c r="M8" s="614" t="s">
        <v>591</v>
      </c>
      <c r="N8" s="614" t="s">
        <v>592</v>
      </c>
      <c r="O8" s="614" t="s">
        <v>593</v>
      </c>
      <c r="P8" s="614">
        <v>13</v>
      </c>
    </row>
    <row r="9" spans="1:19" s="302" customFormat="1" ht="33" customHeight="1" x14ac:dyDescent="0.25">
      <c r="A9" s="299"/>
      <c r="B9" s="300" t="s">
        <v>6</v>
      </c>
      <c r="C9" s="426">
        <f>C10+C13+C18+C20+C25+C26+C27+C28+C31</f>
        <v>396126</v>
      </c>
      <c r="D9" s="328">
        <f t="shared" ref="D9:I9" si="0">D10+D13+D18+D20+D25+D26+D27+D28+D31</f>
        <v>373538</v>
      </c>
      <c r="E9" s="328">
        <f t="shared" si="0"/>
        <v>355750</v>
      </c>
      <c r="F9" s="328">
        <f t="shared" si="0"/>
        <v>17788</v>
      </c>
      <c r="G9" s="328">
        <f t="shared" si="0"/>
        <v>332274</v>
      </c>
      <c r="H9" s="328">
        <f t="shared" si="0"/>
        <v>355750</v>
      </c>
      <c r="I9" s="328">
        <f t="shared" si="0"/>
        <v>23476</v>
      </c>
      <c r="J9" s="328">
        <f>J10+J13+J18+J20+J25+J26+J27+J28+J31</f>
        <v>373538</v>
      </c>
      <c r="K9" s="328">
        <f t="shared" ref="K9:L9" si="1">K10+K13+K18+K20+K25+K26+K27+K28+K31</f>
        <v>355750</v>
      </c>
      <c r="L9" s="328">
        <f t="shared" si="1"/>
        <v>17788</v>
      </c>
      <c r="M9" s="328">
        <f>D9-J9</f>
        <v>0</v>
      </c>
      <c r="N9" s="328">
        <f t="shared" ref="N9:O9" si="2">E9-K9</f>
        <v>0</v>
      </c>
      <c r="O9" s="328">
        <f t="shared" si="2"/>
        <v>0</v>
      </c>
      <c r="P9" s="427"/>
      <c r="Q9" s="332"/>
      <c r="R9" s="301"/>
      <c r="S9" s="301"/>
    </row>
    <row r="10" spans="1:19" s="302" customFormat="1" ht="46.5" customHeight="1" x14ac:dyDescent="0.25">
      <c r="A10" s="299">
        <v>1</v>
      </c>
      <c r="B10" s="303" t="s">
        <v>7</v>
      </c>
      <c r="C10" s="328">
        <f t="shared" ref="C10" si="3">SUM(C11:C12)</f>
        <v>18830</v>
      </c>
      <c r="D10" s="328">
        <f>SUM(E10:F10)</f>
        <v>5817</v>
      </c>
      <c r="E10" s="328">
        <f>K10</f>
        <v>5541</v>
      </c>
      <c r="F10" s="328">
        <f>L10</f>
        <v>276</v>
      </c>
      <c r="G10" s="328">
        <v>5541</v>
      </c>
      <c r="H10" s="328">
        <f>K10</f>
        <v>5541</v>
      </c>
      <c r="I10" s="328">
        <f>H10-G10</f>
        <v>0</v>
      </c>
      <c r="J10" s="328">
        <f>SUM(J11:J12)</f>
        <v>5817</v>
      </c>
      <c r="K10" s="328">
        <f t="shared" ref="K10:L10" si="4">SUM(K11:K12)</f>
        <v>5541</v>
      </c>
      <c r="L10" s="328">
        <f t="shared" si="4"/>
        <v>276</v>
      </c>
      <c r="M10" s="328"/>
      <c r="N10" s="328"/>
      <c r="O10" s="328"/>
      <c r="P10" s="327" t="s">
        <v>244</v>
      </c>
      <c r="Q10" s="333"/>
    </row>
    <row r="11" spans="1:19" ht="32.25" customHeight="1" x14ac:dyDescent="0.25">
      <c r="A11" s="304" t="s">
        <v>8</v>
      </c>
      <c r="B11" s="305" t="s">
        <v>9</v>
      </c>
      <c r="C11" s="427">
        <v>7282.7632490169617</v>
      </c>
      <c r="D11" s="325"/>
      <c r="E11" s="328"/>
      <c r="F11" s="328"/>
      <c r="G11" s="325"/>
      <c r="H11" s="325"/>
      <c r="I11" s="325"/>
      <c r="J11" s="325">
        <f>SUM(K11:L11)</f>
        <v>1852</v>
      </c>
      <c r="K11" s="325">
        <f>'B3-DA1'!D14</f>
        <v>1763</v>
      </c>
      <c r="L11" s="325">
        <f>'B3-DA1'!D17</f>
        <v>89</v>
      </c>
      <c r="M11" s="325"/>
      <c r="N11" s="325"/>
      <c r="O11" s="325"/>
      <c r="P11" s="305"/>
      <c r="Q11" s="302"/>
    </row>
    <row r="12" spans="1:19" ht="32.25" customHeight="1" x14ac:dyDescent="0.25">
      <c r="A12" s="304" t="s">
        <v>10</v>
      </c>
      <c r="B12" s="305" t="s">
        <v>11</v>
      </c>
      <c r="C12" s="427">
        <v>11547.236750983038</v>
      </c>
      <c r="D12" s="325"/>
      <c r="E12" s="328"/>
      <c r="F12" s="328"/>
      <c r="G12" s="325"/>
      <c r="H12" s="325"/>
      <c r="I12" s="325"/>
      <c r="J12" s="325">
        <f t="shared" ref="J12:J34" si="5">SUM(K12:L12)</f>
        <v>3965</v>
      </c>
      <c r="K12" s="325">
        <f>'B3-DA1'!D15</f>
        <v>3778</v>
      </c>
      <c r="L12" s="325">
        <f>'B3-DA1'!D18</f>
        <v>187</v>
      </c>
      <c r="M12" s="325"/>
      <c r="N12" s="325"/>
      <c r="O12" s="325"/>
      <c r="P12" s="305"/>
      <c r="Q12" s="302"/>
    </row>
    <row r="13" spans="1:19" s="302" customFormat="1" ht="64.5" customHeight="1" x14ac:dyDescent="0.25">
      <c r="A13" s="299">
        <v>2</v>
      </c>
      <c r="B13" s="303" t="s">
        <v>12</v>
      </c>
      <c r="C13" s="328">
        <f t="shared" ref="C13" si="6">SUM(C14:C15)</f>
        <v>181658</v>
      </c>
      <c r="D13" s="328">
        <f>SUM(E13:F13)</f>
        <v>203534</v>
      </c>
      <c r="E13" s="328">
        <f t="shared" ref="E13:E31" si="7">K13</f>
        <v>193842</v>
      </c>
      <c r="F13" s="328">
        <f t="shared" ref="F13:F31" si="8">L13</f>
        <v>9692</v>
      </c>
      <c r="G13" s="328">
        <f t="shared" ref="G13:H13" si="9">SUM(G14:G15)</f>
        <v>170366</v>
      </c>
      <c r="H13" s="328">
        <f t="shared" si="9"/>
        <v>193842</v>
      </c>
      <c r="I13" s="328">
        <f>SUM(I14:I15)</f>
        <v>23476</v>
      </c>
      <c r="J13" s="328">
        <f>SUM(J14:J15)</f>
        <v>203534</v>
      </c>
      <c r="K13" s="328">
        <f t="shared" ref="K13:L13" si="10">SUM(K14:K15)</f>
        <v>193842</v>
      </c>
      <c r="L13" s="328">
        <f t="shared" si="10"/>
        <v>9692</v>
      </c>
      <c r="M13" s="328"/>
      <c r="N13" s="328"/>
      <c r="O13" s="328"/>
      <c r="P13" s="305"/>
    </row>
    <row r="14" spans="1:19" ht="46.5" customHeight="1" x14ac:dyDescent="0.25">
      <c r="A14" s="304" t="s">
        <v>8</v>
      </c>
      <c r="B14" s="305" t="s">
        <v>13</v>
      </c>
      <c r="C14" s="427">
        <v>105576</v>
      </c>
      <c r="D14" s="325"/>
      <c r="E14" s="328"/>
      <c r="F14" s="328"/>
      <c r="G14" s="325">
        <v>105131</v>
      </c>
      <c r="H14" s="325">
        <f>K14</f>
        <v>105131</v>
      </c>
      <c r="I14" s="325">
        <f>H14-G14</f>
        <v>0</v>
      </c>
      <c r="J14" s="325">
        <f>SUM(K14:L14)</f>
        <v>105131</v>
      </c>
      <c r="K14" s="325">
        <f>'B4-TDA1,DA3'!D21</f>
        <v>105131</v>
      </c>
      <c r="L14" s="325">
        <f>'B4-TDA1,DA3'!D22</f>
        <v>0</v>
      </c>
      <c r="M14" s="325"/>
      <c r="N14" s="325"/>
      <c r="O14" s="325"/>
      <c r="P14" s="327" t="s">
        <v>245</v>
      </c>
    </row>
    <row r="15" spans="1:19" ht="64.5" customHeight="1" x14ac:dyDescent="0.25">
      <c r="A15" s="304" t="s">
        <v>8</v>
      </c>
      <c r="B15" s="305" t="s">
        <v>14</v>
      </c>
      <c r="C15" s="325">
        <f t="shared" ref="C15" si="11">SUM(C16:C17)</f>
        <v>76082</v>
      </c>
      <c r="D15" s="325"/>
      <c r="E15" s="328"/>
      <c r="F15" s="328"/>
      <c r="G15" s="325">
        <v>65235</v>
      </c>
      <c r="H15" s="325">
        <f>K15</f>
        <v>88711</v>
      </c>
      <c r="I15" s="325">
        <f>H15-G15</f>
        <v>23476</v>
      </c>
      <c r="J15" s="325">
        <f>SUM(J16:J17)</f>
        <v>98403</v>
      </c>
      <c r="K15" s="325">
        <f t="shared" ref="K15:L15" si="12">SUM(K16:K17)</f>
        <v>88711</v>
      </c>
      <c r="L15" s="325">
        <f t="shared" si="12"/>
        <v>9692</v>
      </c>
      <c r="M15" s="325"/>
      <c r="N15" s="325"/>
      <c r="O15" s="325"/>
      <c r="P15" s="327" t="s">
        <v>246</v>
      </c>
    </row>
    <row r="16" spans="1:19" s="311" customFormat="1" ht="32.25" customHeight="1" x14ac:dyDescent="0.25">
      <c r="A16" s="309" t="s">
        <v>32</v>
      </c>
      <c r="B16" s="310" t="s">
        <v>15</v>
      </c>
      <c r="C16" s="428">
        <v>8673</v>
      </c>
      <c r="D16" s="329"/>
      <c r="E16" s="328"/>
      <c r="F16" s="328"/>
      <c r="G16" s="329"/>
      <c r="H16" s="329"/>
      <c r="I16" s="329"/>
      <c r="J16" s="329">
        <f t="shared" si="5"/>
        <v>10377</v>
      </c>
      <c r="K16" s="329">
        <f>'B5-TDA2,DA3'!N17</f>
        <v>9355</v>
      </c>
      <c r="L16" s="329">
        <f>'B5-TDA2,DA3'!N18</f>
        <v>1022</v>
      </c>
      <c r="M16" s="329"/>
      <c r="N16" s="329"/>
      <c r="O16" s="329"/>
      <c r="P16" s="310"/>
    </row>
    <row r="17" spans="1:16" s="311" customFormat="1" ht="46.5" customHeight="1" x14ac:dyDescent="0.25">
      <c r="A17" s="309" t="s">
        <v>32</v>
      </c>
      <c r="B17" s="310" t="s">
        <v>216</v>
      </c>
      <c r="C17" s="428">
        <v>67409</v>
      </c>
      <c r="D17" s="329"/>
      <c r="E17" s="328"/>
      <c r="F17" s="328"/>
      <c r="G17" s="329"/>
      <c r="H17" s="329"/>
      <c r="I17" s="329"/>
      <c r="J17" s="329">
        <f t="shared" si="5"/>
        <v>88026</v>
      </c>
      <c r="K17" s="329">
        <f>'B5-TDA2,DA3'!E17+'B5-TDA2,DA3'!O17+'B5-TDA2,DA3'!P17+'B5-TDA2,DA3'!Q17+'B5-TDA2,DA3'!R17+'B5-TDA2,DA3'!S17+'B5-TDA2,DA3'!T17+'B5-TDA2,DA3'!U17+'B5-TDA2,DA3'!V17</f>
        <v>79356</v>
      </c>
      <c r="L17" s="329">
        <f>'B5-TDA2,DA3'!E18+'B5-TDA2,DA3'!O18+'B5-TDA2,DA3'!P18+'B5-TDA2,DA3'!Q18+'B5-TDA2,DA3'!R18+'B5-TDA2,DA3'!S18+'B5-TDA2,DA3'!T18+'B5-TDA2,DA3'!U18+'B5-TDA2,DA3'!V18</f>
        <v>8670</v>
      </c>
      <c r="M17" s="329"/>
      <c r="N17" s="329"/>
      <c r="O17" s="329"/>
      <c r="P17" s="305"/>
    </row>
    <row r="18" spans="1:16" s="302" customFormat="1" ht="65.25" customHeight="1" x14ac:dyDescent="0.25">
      <c r="A18" s="299">
        <v>3</v>
      </c>
      <c r="B18" s="303" t="s">
        <v>16</v>
      </c>
      <c r="C18" s="328">
        <f t="shared" ref="C18" si="13">C19</f>
        <v>24456</v>
      </c>
      <c r="D18" s="328">
        <f>SUM(E18:F18)</f>
        <v>19817</v>
      </c>
      <c r="E18" s="328">
        <f t="shared" si="7"/>
        <v>18873</v>
      </c>
      <c r="F18" s="328">
        <f t="shared" si="8"/>
        <v>944</v>
      </c>
      <c r="G18" s="328">
        <f t="shared" ref="G18:H18" si="14">G19</f>
        <v>18873</v>
      </c>
      <c r="H18" s="328">
        <f t="shared" si="14"/>
        <v>18873</v>
      </c>
      <c r="I18" s="328">
        <f>I19</f>
        <v>0</v>
      </c>
      <c r="J18" s="328">
        <f>J19</f>
        <v>19817</v>
      </c>
      <c r="K18" s="328">
        <f t="shared" ref="K18:L18" si="15">K19</f>
        <v>18873</v>
      </c>
      <c r="L18" s="328">
        <f t="shared" si="15"/>
        <v>944</v>
      </c>
      <c r="M18" s="328"/>
      <c r="N18" s="328"/>
      <c r="O18" s="328"/>
      <c r="P18" s="327" t="s">
        <v>247</v>
      </c>
    </row>
    <row r="19" spans="1:16" ht="46.5" customHeight="1" x14ac:dyDescent="0.25">
      <c r="A19" s="304" t="s">
        <v>8</v>
      </c>
      <c r="B19" s="305" t="s">
        <v>17</v>
      </c>
      <c r="C19" s="427">
        <v>24456</v>
      </c>
      <c r="D19" s="325"/>
      <c r="E19" s="328"/>
      <c r="F19" s="328"/>
      <c r="G19" s="325">
        <v>18873</v>
      </c>
      <c r="H19" s="325">
        <f>K19</f>
        <v>18873</v>
      </c>
      <c r="I19" s="325">
        <f>H19-G19</f>
        <v>0</v>
      </c>
      <c r="J19" s="325">
        <f t="shared" si="5"/>
        <v>19817</v>
      </c>
      <c r="K19" s="325">
        <f>'B6-DA4'!D19</f>
        <v>18873</v>
      </c>
      <c r="L19" s="325">
        <f>'B6-DA4'!D21</f>
        <v>944</v>
      </c>
      <c r="M19" s="325"/>
      <c r="N19" s="325"/>
      <c r="O19" s="325"/>
      <c r="P19" s="305"/>
    </row>
    <row r="20" spans="1:16" s="302" customFormat="1" ht="46.5" customHeight="1" x14ac:dyDescent="0.25">
      <c r="A20" s="299">
        <v>4</v>
      </c>
      <c r="B20" s="303" t="s">
        <v>18</v>
      </c>
      <c r="C20" s="328">
        <f t="shared" ref="C20" si="16">SUM(C21:C24)</f>
        <v>90194</v>
      </c>
      <c r="D20" s="328">
        <f>SUM(E20:F20)</f>
        <v>76035</v>
      </c>
      <c r="E20" s="328">
        <f t="shared" si="7"/>
        <v>72414</v>
      </c>
      <c r="F20" s="328">
        <f t="shared" si="8"/>
        <v>3621</v>
      </c>
      <c r="G20" s="328">
        <f t="shared" ref="G20:H20" si="17">SUM(G21:G24)</f>
        <v>72414</v>
      </c>
      <c r="H20" s="328">
        <f t="shared" si="17"/>
        <v>72414</v>
      </c>
      <c r="I20" s="328">
        <f>SUM(I21:I24)</f>
        <v>0</v>
      </c>
      <c r="J20" s="328">
        <f>SUM(J21:J24)</f>
        <v>76035</v>
      </c>
      <c r="K20" s="328">
        <f t="shared" ref="K20:L20" si="18">SUM(K21:K24)</f>
        <v>72414</v>
      </c>
      <c r="L20" s="328">
        <f t="shared" si="18"/>
        <v>3621</v>
      </c>
      <c r="M20" s="328"/>
      <c r="N20" s="328"/>
      <c r="O20" s="328"/>
      <c r="P20" s="305"/>
    </row>
    <row r="21" spans="1:16" ht="82.5" customHeight="1" x14ac:dyDescent="0.25">
      <c r="A21" s="304" t="s">
        <v>8</v>
      </c>
      <c r="B21" s="305" t="s">
        <v>19</v>
      </c>
      <c r="C21" s="427">
        <v>13599</v>
      </c>
      <c r="D21" s="325"/>
      <c r="E21" s="328"/>
      <c r="F21" s="328"/>
      <c r="G21" s="325">
        <v>14398</v>
      </c>
      <c r="H21" s="325">
        <f>K21</f>
        <v>14398</v>
      </c>
      <c r="I21" s="325">
        <f t="shared" ref="I21:I27" si="19">H21-G21</f>
        <v>0</v>
      </c>
      <c r="J21" s="325">
        <f t="shared" si="5"/>
        <v>15572</v>
      </c>
      <c r="K21" s="325">
        <f>'B7-TDA1,DA5'!D16</f>
        <v>14398</v>
      </c>
      <c r="L21" s="325">
        <f>'B7-TDA1,DA5'!D18</f>
        <v>1174</v>
      </c>
      <c r="M21" s="325"/>
      <c r="N21" s="325"/>
      <c r="O21" s="325"/>
      <c r="P21" s="327" t="s">
        <v>248</v>
      </c>
    </row>
    <row r="22" spans="1:16" ht="65.25" customHeight="1" x14ac:dyDescent="0.25">
      <c r="A22" s="304" t="s">
        <v>8</v>
      </c>
      <c r="B22" s="305" t="s">
        <v>20</v>
      </c>
      <c r="C22" s="427">
        <v>12425</v>
      </c>
      <c r="D22" s="325"/>
      <c r="E22" s="328"/>
      <c r="F22" s="328"/>
      <c r="G22" s="325">
        <v>12785</v>
      </c>
      <c r="H22" s="325">
        <f t="shared" ref="H22:H24" si="20">K22</f>
        <v>12785</v>
      </c>
      <c r="I22" s="325">
        <f t="shared" si="19"/>
        <v>0</v>
      </c>
      <c r="J22" s="325">
        <f t="shared" si="5"/>
        <v>12785</v>
      </c>
      <c r="K22" s="325">
        <f>'B8-TDA2, DA5'!D9</f>
        <v>12785</v>
      </c>
      <c r="L22" s="325">
        <f>'B8-TDA2, DA5'!D12</f>
        <v>0</v>
      </c>
      <c r="M22" s="325"/>
      <c r="N22" s="325"/>
      <c r="O22" s="325"/>
      <c r="P22" s="327" t="s">
        <v>249</v>
      </c>
    </row>
    <row r="23" spans="1:16" ht="46.5" customHeight="1" x14ac:dyDescent="0.25">
      <c r="A23" s="304" t="s">
        <v>8</v>
      </c>
      <c r="B23" s="305" t="s">
        <v>134</v>
      </c>
      <c r="C23" s="427">
        <v>48356</v>
      </c>
      <c r="D23" s="325"/>
      <c r="E23" s="328"/>
      <c r="F23" s="328"/>
      <c r="G23" s="325">
        <v>30000</v>
      </c>
      <c r="H23" s="325">
        <f t="shared" si="20"/>
        <v>30000</v>
      </c>
      <c r="I23" s="325">
        <f t="shared" si="19"/>
        <v>0</v>
      </c>
      <c r="J23" s="325">
        <f t="shared" si="5"/>
        <v>32447</v>
      </c>
      <c r="K23" s="325">
        <f>'B9-TDA3,DA5'!D9</f>
        <v>30000</v>
      </c>
      <c r="L23" s="325">
        <f>'B9-TDA3,DA5'!D11</f>
        <v>2447</v>
      </c>
      <c r="M23" s="325"/>
      <c r="N23" s="325"/>
      <c r="O23" s="325"/>
      <c r="P23" s="327" t="s">
        <v>250</v>
      </c>
    </row>
    <row r="24" spans="1:16" ht="46.5" customHeight="1" x14ac:dyDescent="0.25">
      <c r="A24" s="304" t="s">
        <v>8</v>
      </c>
      <c r="B24" s="305" t="s">
        <v>21</v>
      </c>
      <c r="C24" s="427">
        <v>15814</v>
      </c>
      <c r="D24" s="325"/>
      <c r="E24" s="328"/>
      <c r="F24" s="328"/>
      <c r="G24" s="325">
        <v>15231</v>
      </c>
      <c r="H24" s="325">
        <f t="shared" si="20"/>
        <v>15231</v>
      </c>
      <c r="I24" s="325">
        <f t="shared" si="19"/>
        <v>0</v>
      </c>
      <c r="J24" s="325">
        <f t="shared" si="5"/>
        <v>15231</v>
      </c>
      <c r="K24" s="325">
        <f>'B10-TDA4,DA5'!D11</f>
        <v>15231</v>
      </c>
      <c r="L24" s="325">
        <f>'B10-TDA4,DA5'!D13</f>
        <v>0</v>
      </c>
      <c r="M24" s="325"/>
      <c r="N24" s="325"/>
      <c r="O24" s="325"/>
      <c r="P24" s="327" t="s">
        <v>251</v>
      </c>
    </row>
    <row r="25" spans="1:16" s="302" customFormat="1" ht="46.5" customHeight="1" x14ac:dyDescent="0.25">
      <c r="A25" s="299">
        <v>5</v>
      </c>
      <c r="B25" s="303" t="s">
        <v>22</v>
      </c>
      <c r="C25" s="426">
        <v>10151</v>
      </c>
      <c r="D25" s="328">
        <f>SUM(E25:F25)</f>
        <v>11798</v>
      </c>
      <c r="E25" s="328">
        <f t="shared" si="7"/>
        <v>11235</v>
      </c>
      <c r="F25" s="328">
        <f t="shared" si="8"/>
        <v>563</v>
      </c>
      <c r="G25" s="328">
        <v>11235</v>
      </c>
      <c r="H25" s="328">
        <f>K25</f>
        <v>11235</v>
      </c>
      <c r="I25" s="328">
        <f t="shared" si="19"/>
        <v>0</v>
      </c>
      <c r="J25" s="328">
        <f t="shared" si="5"/>
        <v>11798</v>
      </c>
      <c r="K25" s="328">
        <f>'B11-DA6'!D33</f>
        <v>11235</v>
      </c>
      <c r="L25" s="328">
        <f>'B11-DA6'!D35</f>
        <v>563</v>
      </c>
      <c r="M25" s="328"/>
      <c r="N25" s="328"/>
      <c r="O25" s="328"/>
      <c r="P25" s="327" t="s">
        <v>252</v>
      </c>
    </row>
    <row r="26" spans="1:16" s="302" customFormat="1" ht="46.5" customHeight="1" x14ac:dyDescent="0.25">
      <c r="A26" s="299">
        <v>6</v>
      </c>
      <c r="B26" s="303" t="s">
        <v>23</v>
      </c>
      <c r="C26" s="426">
        <v>10064</v>
      </c>
      <c r="D26" s="328">
        <f>SUM(E26:F26)</f>
        <v>10957</v>
      </c>
      <c r="E26" s="328">
        <f t="shared" si="7"/>
        <v>10435</v>
      </c>
      <c r="F26" s="328">
        <f t="shared" si="8"/>
        <v>522</v>
      </c>
      <c r="G26" s="328">
        <v>10435</v>
      </c>
      <c r="H26" s="328">
        <f t="shared" ref="H26:H27" si="21">K26</f>
        <v>10435</v>
      </c>
      <c r="I26" s="328">
        <f t="shared" si="19"/>
        <v>0</v>
      </c>
      <c r="J26" s="328">
        <f t="shared" si="5"/>
        <v>10957</v>
      </c>
      <c r="K26" s="328">
        <f>'B12-DA7'!E7</f>
        <v>10435</v>
      </c>
      <c r="L26" s="328">
        <f>'B12-DA7'!G7</f>
        <v>522</v>
      </c>
      <c r="M26" s="328"/>
      <c r="N26" s="328"/>
      <c r="O26" s="328"/>
      <c r="P26" s="327" t="s">
        <v>253</v>
      </c>
    </row>
    <row r="27" spans="1:16" s="302" customFormat="1" ht="46.5" customHeight="1" x14ac:dyDescent="0.25">
      <c r="A27" s="299">
        <v>7</v>
      </c>
      <c r="B27" s="303" t="s">
        <v>24</v>
      </c>
      <c r="C27" s="426">
        <v>24354</v>
      </c>
      <c r="D27" s="328">
        <f>SUM(E27:F27)</f>
        <v>28558</v>
      </c>
      <c r="E27" s="328">
        <f t="shared" si="7"/>
        <v>27198</v>
      </c>
      <c r="F27" s="328">
        <f t="shared" si="8"/>
        <v>1360</v>
      </c>
      <c r="G27" s="328">
        <v>27198</v>
      </c>
      <c r="H27" s="328">
        <f t="shared" si="21"/>
        <v>27198</v>
      </c>
      <c r="I27" s="328">
        <f t="shared" si="19"/>
        <v>0</v>
      </c>
      <c r="J27" s="328">
        <f t="shared" si="5"/>
        <v>28558</v>
      </c>
      <c r="K27" s="328">
        <f>'B13-DA8'!D11</f>
        <v>27198</v>
      </c>
      <c r="L27" s="328">
        <f>'B13-DA8'!D13</f>
        <v>1360</v>
      </c>
      <c r="M27" s="328"/>
      <c r="N27" s="328"/>
      <c r="O27" s="328"/>
      <c r="P27" s="327" t="s">
        <v>254</v>
      </c>
    </row>
    <row r="28" spans="1:16" s="302" customFormat="1" ht="46.5" customHeight="1" x14ac:dyDescent="0.25">
      <c r="A28" s="299">
        <v>8</v>
      </c>
      <c r="B28" s="303" t="s">
        <v>25</v>
      </c>
      <c r="C28" s="328">
        <f t="shared" ref="C28" si="22">SUM(C29:C30)</f>
        <v>18865</v>
      </c>
      <c r="D28" s="328">
        <f>SUM(E28:F28)</f>
        <v>4152</v>
      </c>
      <c r="E28" s="328">
        <f t="shared" si="7"/>
        <v>3955</v>
      </c>
      <c r="F28" s="328">
        <f t="shared" si="8"/>
        <v>197</v>
      </c>
      <c r="G28" s="328">
        <f t="shared" ref="G28:H28" si="23">SUM(G29:G30)</f>
        <v>3955</v>
      </c>
      <c r="H28" s="328">
        <f t="shared" si="23"/>
        <v>3955</v>
      </c>
      <c r="I28" s="328">
        <f t="shared" ref="I28:L28" si="24">SUM(I29:I30)</f>
        <v>0</v>
      </c>
      <c r="J28" s="328">
        <f t="shared" si="24"/>
        <v>4152</v>
      </c>
      <c r="K28" s="328">
        <f t="shared" si="24"/>
        <v>3955</v>
      </c>
      <c r="L28" s="328">
        <f t="shared" si="24"/>
        <v>197</v>
      </c>
      <c r="M28" s="328"/>
      <c r="N28" s="328"/>
      <c r="O28" s="328"/>
      <c r="P28" s="305"/>
    </row>
    <row r="29" spans="1:16" ht="47.25" customHeight="1" x14ac:dyDescent="0.25">
      <c r="A29" s="306" t="s">
        <v>8</v>
      </c>
      <c r="B29" s="307" t="s">
        <v>26</v>
      </c>
      <c r="C29" s="427">
        <v>13863</v>
      </c>
      <c r="D29" s="325"/>
      <c r="E29" s="328"/>
      <c r="F29" s="328"/>
      <c r="G29" s="325"/>
      <c r="H29" s="325"/>
      <c r="I29" s="325"/>
      <c r="J29" s="325">
        <f t="shared" si="5"/>
        <v>0</v>
      </c>
      <c r="K29" s="325">
        <v>0</v>
      </c>
      <c r="L29" s="325">
        <v>0</v>
      </c>
      <c r="M29" s="325"/>
      <c r="N29" s="325"/>
      <c r="O29" s="325"/>
      <c r="P29" s="425" t="s">
        <v>598</v>
      </c>
    </row>
    <row r="30" spans="1:16" ht="46.5" customHeight="1" x14ac:dyDescent="0.25">
      <c r="A30" s="306" t="s">
        <v>8</v>
      </c>
      <c r="B30" s="305" t="s">
        <v>27</v>
      </c>
      <c r="C30" s="427">
        <v>5002</v>
      </c>
      <c r="D30" s="325"/>
      <c r="E30" s="328"/>
      <c r="F30" s="328"/>
      <c r="G30" s="325">
        <v>3955</v>
      </c>
      <c r="H30" s="325">
        <f>K30</f>
        <v>3955</v>
      </c>
      <c r="I30" s="325">
        <f>H30-G30</f>
        <v>0</v>
      </c>
      <c r="J30" s="325">
        <f t="shared" si="5"/>
        <v>4152</v>
      </c>
      <c r="K30" s="325">
        <f>'B14-TDA2,DA9'!D17</f>
        <v>3955</v>
      </c>
      <c r="L30" s="325">
        <f>'B14-TDA2,DA9'!D19</f>
        <v>197</v>
      </c>
      <c r="M30" s="325"/>
      <c r="N30" s="325"/>
      <c r="O30" s="325"/>
      <c r="P30" s="327" t="s">
        <v>255</v>
      </c>
    </row>
    <row r="31" spans="1:16" s="302" customFormat="1" ht="64.5" customHeight="1" x14ac:dyDescent="0.25">
      <c r="A31" s="299">
        <v>9</v>
      </c>
      <c r="B31" s="303" t="s">
        <v>28</v>
      </c>
      <c r="C31" s="328">
        <f t="shared" ref="C31" si="25">SUM(C32:C34)</f>
        <v>17554</v>
      </c>
      <c r="D31" s="328">
        <f>SUM(E31:F31)</f>
        <v>12870</v>
      </c>
      <c r="E31" s="328">
        <f t="shared" si="7"/>
        <v>12257</v>
      </c>
      <c r="F31" s="328">
        <f t="shared" si="8"/>
        <v>613</v>
      </c>
      <c r="G31" s="328">
        <f t="shared" ref="G31:H31" si="26">SUM(G32:G34)</f>
        <v>12257</v>
      </c>
      <c r="H31" s="328">
        <f t="shared" si="26"/>
        <v>12257</v>
      </c>
      <c r="I31" s="328">
        <f>SUM(I32:I34)</f>
        <v>0</v>
      </c>
      <c r="J31" s="328">
        <f>SUM(J32:J34)</f>
        <v>12870</v>
      </c>
      <c r="K31" s="328">
        <f t="shared" ref="K31:L31" si="27">SUM(K32:K34)</f>
        <v>12257</v>
      </c>
      <c r="L31" s="328">
        <f t="shared" si="27"/>
        <v>613</v>
      </c>
      <c r="M31" s="328"/>
      <c r="N31" s="328"/>
      <c r="O31" s="328"/>
      <c r="P31" s="326"/>
    </row>
    <row r="32" spans="1:16" ht="120.75" customHeight="1" x14ac:dyDescent="0.25">
      <c r="A32" s="304" t="s">
        <v>8</v>
      </c>
      <c r="B32" s="305" t="s">
        <v>29</v>
      </c>
      <c r="C32" s="427">
        <v>11639</v>
      </c>
      <c r="D32" s="325"/>
      <c r="E32" s="325"/>
      <c r="F32" s="325"/>
      <c r="G32" s="325">
        <v>8489</v>
      </c>
      <c r="H32" s="325">
        <f>K32</f>
        <v>8489</v>
      </c>
      <c r="I32" s="325">
        <f>H32-G32</f>
        <v>0</v>
      </c>
      <c r="J32" s="325">
        <f t="shared" si="5"/>
        <v>8968</v>
      </c>
      <c r="K32" s="325">
        <f>'B15-TDA1,DA10'!D9</f>
        <v>8489</v>
      </c>
      <c r="L32" s="325">
        <f>'B15-TDA1,DA10'!D11</f>
        <v>479</v>
      </c>
      <c r="M32" s="325"/>
      <c r="N32" s="325"/>
      <c r="O32" s="325"/>
      <c r="P32" s="327" t="s">
        <v>256</v>
      </c>
    </row>
    <row r="33" spans="1:16" ht="48" customHeight="1" x14ac:dyDescent="0.25">
      <c r="A33" s="304" t="s">
        <v>8</v>
      </c>
      <c r="B33" s="305" t="s">
        <v>217</v>
      </c>
      <c r="C33" s="427">
        <v>2120</v>
      </c>
      <c r="D33" s="325"/>
      <c r="E33" s="325"/>
      <c r="F33" s="325"/>
      <c r="G33" s="325">
        <v>1416</v>
      </c>
      <c r="H33" s="325">
        <f t="shared" ref="H33:H34" si="28">K33</f>
        <v>1416</v>
      </c>
      <c r="I33" s="325">
        <f>H33-G33</f>
        <v>0</v>
      </c>
      <c r="J33" s="325">
        <f t="shared" si="5"/>
        <v>1416</v>
      </c>
      <c r="K33" s="325">
        <f>'B16-TDA2,DA10'!D11</f>
        <v>1416</v>
      </c>
      <c r="L33" s="325">
        <f>'B16-TDA2,DA10'!D13</f>
        <v>0</v>
      </c>
      <c r="M33" s="325"/>
      <c r="N33" s="325"/>
      <c r="O33" s="325"/>
      <c r="P33" s="327" t="s">
        <v>584</v>
      </c>
    </row>
    <row r="34" spans="1:16" ht="45" customHeight="1" x14ac:dyDescent="0.25">
      <c r="A34" s="312" t="s">
        <v>8</v>
      </c>
      <c r="B34" s="313" t="s">
        <v>30</v>
      </c>
      <c r="C34" s="429">
        <v>3795</v>
      </c>
      <c r="D34" s="330"/>
      <c r="E34" s="330"/>
      <c r="F34" s="330"/>
      <c r="G34" s="330">
        <v>2352</v>
      </c>
      <c r="H34" s="330">
        <f t="shared" si="28"/>
        <v>2352</v>
      </c>
      <c r="I34" s="330">
        <f>H34-G34</f>
        <v>0</v>
      </c>
      <c r="J34" s="330">
        <f t="shared" si="5"/>
        <v>2486</v>
      </c>
      <c r="K34" s="330">
        <f>'B17-TDA3,DA10'!D75</f>
        <v>2352</v>
      </c>
      <c r="L34" s="330">
        <f>'B17-TDA3,DA10'!E75</f>
        <v>134</v>
      </c>
      <c r="M34" s="330"/>
      <c r="N34" s="330"/>
      <c r="O34" s="330"/>
      <c r="P34" s="313" t="s">
        <v>585</v>
      </c>
    </row>
    <row r="37" spans="1:16" x14ac:dyDescent="0.25">
      <c r="F37" s="308"/>
      <c r="H37" s="308"/>
      <c r="I37" s="308"/>
    </row>
  </sheetData>
  <mergeCells count="14">
    <mergeCell ref="N1:P1"/>
    <mergeCell ref="A6:A7"/>
    <mergeCell ref="B6:B7"/>
    <mergeCell ref="C6:C7"/>
    <mergeCell ref="P6:P7"/>
    <mergeCell ref="A2:P2"/>
    <mergeCell ref="A3:P3"/>
    <mergeCell ref="J6:L6"/>
    <mergeCell ref="M6:O6"/>
    <mergeCell ref="N5:P5"/>
    <mergeCell ref="D6:F6"/>
    <mergeCell ref="G6:G7"/>
    <mergeCell ref="H6:H7"/>
    <mergeCell ref="I6:I7"/>
  </mergeCells>
  <pageMargins left="0.59055118110236227" right="0.27559055118110237" top="0.59055118110236227" bottom="0.39370078740157483" header="0.19685039370078741" footer="0.23622047244094491"/>
  <pageSetup paperSize="8" scale="60" firstPageNumber="157" fitToHeight="0" orientation="landscape" useFirstPageNumber="1" r:id="rId1"/>
  <headerFooter>
    <oddHeader>&amp;C&amp;P</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U28"/>
  <sheetViews>
    <sheetView view="pageLayout" zoomScaleNormal="100" workbookViewId="0">
      <selection activeCell="K4" sqref="K4"/>
    </sheetView>
  </sheetViews>
  <sheetFormatPr defaultColWidth="7.75" defaultRowHeight="15.75" x14ac:dyDescent="0.25"/>
  <cols>
    <col min="1" max="1" width="5.125" style="57" customWidth="1"/>
    <col min="2" max="2" width="33.25" style="57" customWidth="1"/>
    <col min="3" max="3" width="10.75" style="57" customWidth="1"/>
    <col min="4" max="14" width="9.25" style="57" customWidth="1"/>
    <col min="15" max="15" width="11.375" style="57" customWidth="1"/>
    <col min="16" max="16384" width="7.75" style="57"/>
  </cols>
  <sheetData>
    <row r="1" spans="1:255" ht="34.5" customHeight="1" x14ac:dyDescent="0.25">
      <c r="K1" s="826" t="s">
        <v>616</v>
      </c>
      <c r="L1" s="826"/>
      <c r="M1" s="826"/>
      <c r="N1" s="826"/>
    </row>
    <row r="2" spans="1:255" s="14" customFormat="1" ht="39.75" customHeight="1" x14ac:dyDescent="0.25">
      <c r="A2" s="828" t="s">
        <v>556</v>
      </c>
      <c r="B2" s="828"/>
      <c r="C2" s="828"/>
      <c r="D2" s="828"/>
      <c r="E2" s="828"/>
      <c r="F2" s="828"/>
      <c r="G2" s="828"/>
      <c r="H2" s="828"/>
      <c r="I2" s="828"/>
      <c r="J2" s="828"/>
      <c r="K2" s="828"/>
      <c r="L2" s="828"/>
      <c r="M2" s="828"/>
      <c r="N2" s="828"/>
    </row>
    <row r="3" spans="1:255" s="18" customFormat="1" ht="24" customHeight="1" x14ac:dyDescent="0.25">
      <c r="A3" s="829" t="str">
        <f>'B7-TDA1,DA5'!A3:N3</f>
        <v>(Kèm theo Báo cáo số:          /BC-UBND ngày          tháng 11 năm 2023 của UBND tỉnh)</v>
      </c>
      <c r="B3" s="830"/>
      <c r="C3" s="830"/>
      <c r="D3" s="830"/>
      <c r="E3" s="830"/>
      <c r="F3" s="830"/>
      <c r="G3" s="830"/>
      <c r="H3" s="830"/>
      <c r="I3" s="830"/>
      <c r="J3" s="830"/>
      <c r="K3" s="830"/>
      <c r="L3" s="830"/>
      <c r="M3" s="830"/>
      <c r="N3" s="830"/>
      <c r="O3" s="827"/>
      <c r="P3" s="827"/>
      <c r="Q3" s="827"/>
      <c r="R3" s="827"/>
      <c r="S3" s="827"/>
      <c r="T3" s="827"/>
      <c r="U3" s="827"/>
      <c r="V3" s="827"/>
      <c r="W3" s="827"/>
      <c r="X3" s="827"/>
      <c r="Y3" s="827"/>
      <c r="Z3" s="827"/>
      <c r="AA3" s="827"/>
      <c r="AB3" s="827"/>
      <c r="AC3" s="827"/>
      <c r="AD3" s="827"/>
      <c r="AE3" s="827"/>
      <c r="AF3" s="827"/>
      <c r="AG3" s="827"/>
      <c r="AH3" s="827"/>
      <c r="AI3" s="827"/>
      <c r="AJ3" s="827"/>
      <c r="AK3" s="827"/>
      <c r="AL3" s="827"/>
      <c r="AM3" s="827"/>
      <c r="AN3" s="827"/>
      <c r="AO3" s="827"/>
      <c r="AP3" s="827"/>
      <c r="AQ3" s="827"/>
      <c r="AR3" s="827"/>
      <c r="AS3" s="827"/>
      <c r="AT3" s="827"/>
      <c r="AU3" s="827"/>
      <c r="AV3" s="827"/>
      <c r="AW3" s="827"/>
      <c r="AX3" s="827"/>
      <c r="AY3" s="827"/>
      <c r="AZ3" s="827"/>
      <c r="BA3" s="827"/>
      <c r="BB3" s="827"/>
      <c r="BC3" s="827"/>
      <c r="BD3" s="827"/>
      <c r="BE3" s="827"/>
      <c r="BF3" s="827"/>
      <c r="BG3" s="827"/>
      <c r="BH3" s="827"/>
      <c r="BI3" s="827"/>
      <c r="BJ3" s="827"/>
      <c r="BK3" s="827"/>
      <c r="BL3" s="827"/>
      <c r="BM3" s="827"/>
      <c r="BN3" s="827"/>
      <c r="BO3" s="827"/>
      <c r="BP3" s="827"/>
      <c r="BQ3" s="827"/>
      <c r="BR3" s="827"/>
      <c r="BS3" s="827"/>
      <c r="BT3" s="827"/>
      <c r="BU3" s="827"/>
      <c r="BV3" s="827"/>
      <c r="BW3" s="827"/>
      <c r="BX3" s="827"/>
      <c r="BY3" s="827"/>
      <c r="BZ3" s="827"/>
      <c r="CA3" s="827"/>
      <c r="CB3" s="827"/>
      <c r="CC3" s="827"/>
      <c r="CD3" s="827"/>
      <c r="CE3" s="827"/>
      <c r="CF3" s="827"/>
      <c r="CG3" s="827"/>
      <c r="CH3" s="827"/>
      <c r="CI3" s="827"/>
      <c r="CJ3" s="827"/>
      <c r="CK3" s="827"/>
      <c r="CL3" s="827"/>
      <c r="CM3" s="827"/>
      <c r="CN3" s="827"/>
      <c r="CO3" s="827"/>
      <c r="CP3" s="827"/>
      <c r="CQ3" s="827"/>
      <c r="CR3" s="827"/>
      <c r="CS3" s="827"/>
      <c r="CT3" s="827"/>
      <c r="CU3" s="827"/>
      <c r="CV3" s="827"/>
      <c r="CW3" s="827"/>
      <c r="CX3" s="827"/>
      <c r="CY3" s="827"/>
      <c r="CZ3" s="827"/>
      <c r="DA3" s="827"/>
      <c r="DB3" s="827"/>
      <c r="DC3" s="827"/>
      <c r="DD3" s="827"/>
      <c r="DE3" s="827"/>
      <c r="DF3" s="827"/>
      <c r="DG3" s="827"/>
      <c r="DH3" s="827"/>
      <c r="DI3" s="827"/>
      <c r="DJ3" s="827"/>
      <c r="DK3" s="827"/>
      <c r="DL3" s="827"/>
      <c r="DM3" s="827"/>
      <c r="DN3" s="827"/>
      <c r="DO3" s="827"/>
      <c r="DP3" s="827"/>
      <c r="DQ3" s="827"/>
      <c r="DR3" s="827"/>
      <c r="DS3" s="827"/>
      <c r="DT3" s="827"/>
      <c r="DU3" s="827"/>
      <c r="DV3" s="827"/>
      <c r="DW3" s="827"/>
      <c r="DX3" s="827"/>
      <c r="DY3" s="827"/>
      <c r="DZ3" s="827"/>
      <c r="EA3" s="827"/>
      <c r="EB3" s="827"/>
      <c r="EC3" s="827"/>
      <c r="ED3" s="827"/>
      <c r="EE3" s="827"/>
      <c r="EF3" s="827"/>
      <c r="EG3" s="827"/>
      <c r="EH3" s="827"/>
      <c r="EI3" s="827"/>
      <c r="EJ3" s="827"/>
      <c r="EK3" s="827"/>
      <c r="EL3" s="827"/>
      <c r="EM3" s="827"/>
      <c r="EN3" s="827"/>
      <c r="EO3" s="827"/>
      <c r="EP3" s="827"/>
      <c r="EQ3" s="827"/>
      <c r="ER3" s="827"/>
      <c r="ES3" s="827"/>
      <c r="ET3" s="827"/>
      <c r="EU3" s="827"/>
      <c r="EV3" s="827"/>
      <c r="EW3" s="827"/>
      <c r="EX3" s="827"/>
      <c r="EY3" s="827"/>
      <c r="EZ3" s="827"/>
      <c r="FA3" s="827"/>
      <c r="FB3" s="827"/>
      <c r="FC3" s="827"/>
      <c r="FD3" s="827"/>
      <c r="FE3" s="827"/>
      <c r="FF3" s="827"/>
      <c r="FG3" s="827"/>
      <c r="FH3" s="827"/>
      <c r="FI3" s="827"/>
      <c r="FJ3" s="827"/>
      <c r="FK3" s="827"/>
      <c r="FL3" s="827"/>
      <c r="FM3" s="827"/>
      <c r="FN3" s="827"/>
      <c r="FO3" s="827"/>
      <c r="FP3" s="827"/>
      <c r="FQ3" s="827"/>
      <c r="FR3" s="827"/>
      <c r="FS3" s="827"/>
      <c r="FT3" s="827"/>
      <c r="FU3" s="827"/>
      <c r="FV3" s="827"/>
      <c r="FW3" s="827"/>
      <c r="FX3" s="827"/>
      <c r="FY3" s="827"/>
      <c r="FZ3" s="827"/>
      <c r="GA3" s="827"/>
      <c r="GB3" s="827"/>
      <c r="GC3" s="827"/>
      <c r="GD3" s="827"/>
      <c r="GE3" s="827"/>
      <c r="GF3" s="827"/>
      <c r="GG3" s="827"/>
      <c r="GH3" s="827"/>
      <c r="GI3" s="827"/>
      <c r="GJ3" s="827"/>
      <c r="GK3" s="827"/>
      <c r="GL3" s="827"/>
      <c r="GM3" s="827"/>
      <c r="GN3" s="827"/>
      <c r="GO3" s="827"/>
      <c r="GP3" s="827"/>
      <c r="GQ3" s="827"/>
      <c r="GR3" s="827"/>
      <c r="GS3" s="827"/>
      <c r="GT3" s="827"/>
      <c r="GU3" s="827"/>
      <c r="GV3" s="827"/>
      <c r="GW3" s="827"/>
      <c r="GX3" s="827"/>
      <c r="GY3" s="827"/>
      <c r="GZ3" s="827"/>
      <c r="HA3" s="827"/>
      <c r="HB3" s="827"/>
      <c r="HC3" s="827"/>
      <c r="HD3" s="827"/>
      <c r="HE3" s="827"/>
      <c r="HF3" s="827"/>
      <c r="HG3" s="827"/>
      <c r="HH3" s="827"/>
      <c r="HI3" s="827"/>
      <c r="HJ3" s="827"/>
      <c r="HK3" s="827"/>
      <c r="HL3" s="827"/>
      <c r="HM3" s="827"/>
      <c r="HN3" s="827"/>
      <c r="HO3" s="827"/>
      <c r="HP3" s="827"/>
      <c r="HQ3" s="827"/>
      <c r="HR3" s="827"/>
      <c r="HS3" s="827"/>
      <c r="HT3" s="827"/>
      <c r="HU3" s="827"/>
      <c r="HV3" s="827"/>
      <c r="HW3" s="827"/>
      <c r="HX3" s="827"/>
      <c r="HY3" s="827"/>
      <c r="HZ3" s="827"/>
      <c r="IA3" s="827"/>
      <c r="IB3" s="827"/>
      <c r="IC3" s="827"/>
      <c r="ID3" s="827"/>
      <c r="IE3" s="827"/>
      <c r="IF3" s="827"/>
      <c r="IG3" s="827"/>
      <c r="IH3" s="827"/>
      <c r="II3" s="827"/>
      <c r="IJ3" s="827"/>
      <c r="IK3" s="827"/>
      <c r="IL3" s="827"/>
      <c r="IM3" s="827"/>
      <c r="IN3" s="827"/>
      <c r="IO3" s="827"/>
      <c r="IP3" s="827"/>
      <c r="IQ3" s="827"/>
      <c r="IR3" s="827"/>
      <c r="IS3" s="827"/>
      <c r="IT3" s="827"/>
      <c r="IU3" s="827"/>
    </row>
    <row r="4" spans="1:255" s="406" customFormat="1" ht="47.25" x14ac:dyDescent="0.25">
      <c r="A4" s="405" t="s">
        <v>1</v>
      </c>
      <c r="B4" s="405" t="s">
        <v>35</v>
      </c>
      <c r="C4" s="405" t="s">
        <v>36</v>
      </c>
      <c r="D4" s="405" t="s">
        <v>37</v>
      </c>
      <c r="E4" s="405" t="s">
        <v>183</v>
      </c>
      <c r="F4" s="405" t="s">
        <v>89</v>
      </c>
      <c r="G4" s="405" t="s">
        <v>38</v>
      </c>
      <c r="H4" s="405" t="s">
        <v>39</v>
      </c>
      <c r="I4" s="405" t="s">
        <v>40</v>
      </c>
      <c r="J4" s="405" t="s">
        <v>41</v>
      </c>
      <c r="K4" s="405" t="s">
        <v>42</v>
      </c>
      <c r="L4" s="405" t="s">
        <v>43</v>
      </c>
      <c r="M4" s="405" t="s">
        <v>44</v>
      </c>
      <c r="N4" s="405" t="s">
        <v>45</v>
      </c>
    </row>
    <row r="5" spans="1:255" s="406" customFormat="1" ht="21.75" customHeight="1" x14ac:dyDescent="0.25">
      <c r="A5" s="407" t="s">
        <v>46</v>
      </c>
      <c r="B5" s="408" t="s">
        <v>47</v>
      </c>
      <c r="C5" s="407"/>
      <c r="D5" s="409"/>
      <c r="E5" s="409"/>
      <c r="F5" s="409"/>
      <c r="G5" s="409"/>
      <c r="H5" s="409"/>
      <c r="I5" s="409"/>
      <c r="J5" s="409"/>
      <c r="K5" s="409"/>
      <c r="L5" s="409"/>
      <c r="M5" s="409"/>
      <c r="N5" s="409"/>
    </row>
    <row r="6" spans="1:255" s="406" customFormat="1" ht="21.75" customHeight="1" x14ac:dyDescent="0.25">
      <c r="A6" s="110">
        <v>1</v>
      </c>
      <c r="B6" s="410" t="s">
        <v>90</v>
      </c>
      <c r="C6" s="411" t="s">
        <v>70</v>
      </c>
      <c r="D6" s="412">
        <f>SUM(G6:N6)</f>
        <v>108</v>
      </c>
      <c r="E6" s="412"/>
      <c r="F6" s="412"/>
      <c r="G6" s="412">
        <v>14</v>
      </c>
      <c r="H6" s="412">
        <v>20</v>
      </c>
      <c r="I6" s="412">
        <v>10</v>
      </c>
      <c r="J6" s="412">
        <v>14</v>
      </c>
      <c r="K6" s="412">
        <v>17</v>
      </c>
      <c r="L6" s="412">
        <v>10</v>
      </c>
      <c r="M6" s="412">
        <v>15</v>
      </c>
      <c r="N6" s="412">
        <v>8</v>
      </c>
    </row>
    <row r="7" spans="1:255" s="416" customFormat="1" ht="21.75" customHeight="1" x14ac:dyDescent="0.25">
      <c r="A7" s="413" t="s">
        <v>31</v>
      </c>
      <c r="B7" s="414" t="s">
        <v>79</v>
      </c>
      <c r="C7" s="413"/>
      <c r="D7" s="412"/>
      <c r="E7" s="415"/>
      <c r="F7" s="415"/>
      <c r="G7" s="415"/>
      <c r="H7" s="415"/>
      <c r="I7" s="415"/>
      <c r="J7" s="415"/>
      <c r="K7" s="415"/>
      <c r="L7" s="415"/>
      <c r="M7" s="415"/>
      <c r="N7" s="415"/>
    </row>
    <row r="8" spans="1:255" ht="21.75" customHeight="1" x14ac:dyDescent="0.25">
      <c r="A8" s="110">
        <v>1</v>
      </c>
      <c r="B8" s="410" t="s">
        <v>90</v>
      </c>
      <c r="C8" s="417">
        <v>0.20399999999999999</v>
      </c>
      <c r="D8" s="412">
        <f>SUM(G8:N8)</f>
        <v>22.032</v>
      </c>
      <c r="E8" s="412"/>
      <c r="F8" s="412"/>
      <c r="G8" s="418">
        <f>G6*$C$8</f>
        <v>2.8559999999999999</v>
      </c>
      <c r="H8" s="418">
        <f t="shared" ref="H8:N8" si="0">H6*$C$8</f>
        <v>4.08</v>
      </c>
      <c r="I8" s="418">
        <f t="shared" si="0"/>
        <v>2.04</v>
      </c>
      <c r="J8" s="418">
        <f t="shared" si="0"/>
        <v>2.8559999999999999</v>
      </c>
      <c r="K8" s="418">
        <f t="shared" si="0"/>
        <v>3.468</v>
      </c>
      <c r="L8" s="418">
        <f t="shared" si="0"/>
        <v>2.04</v>
      </c>
      <c r="M8" s="418">
        <f t="shared" si="0"/>
        <v>3.0599999999999996</v>
      </c>
      <c r="N8" s="418">
        <f t="shared" si="0"/>
        <v>1.6319999999999999</v>
      </c>
    </row>
    <row r="9" spans="1:255" s="420" customFormat="1" ht="21.75" customHeight="1" x14ac:dyDescent="0.25">
      <c r="A9" s="413" t="s">
        <v>54</v>
      </c>
      <c r="B9" s="109" t="s">
        <v>575</v>
      </c>
      <c r="C9" s="108"/>
      <c r="D9" s="419">
        <v>12785</v>
      </c>
      <c r="E9" s="419">
        <f>SUM(E10:E11)</f>
        <v>9898</v>
      </c>
      <c r="F9" s="419">
        <f t="shared" ref="F9:N9" si="1">SUM(F10:F11)</f>
        <v>462</v>
      </c>
      <c r="G9" s="419">
        <f t="shared" si="1"/>
        <v>314</v>
      </c>
      <c r="H9" s="419">
        <f t="shared" si="1"/>
        <v>448</v>
      </c>
      <c r="I9" s="419">
        <f t="shared" si="1"/>
        <v>225</v>
      </c>
      <c r="J9" s="419">
        <f t="shared" si="1"/>
        <v>314</v>
      </c>
      <c r="K9" s="419">
        <f t="shared" si="1"/>
        <v>382</v>
      </c>
      <c r="L9" s="419">
        <f t="shared" si="1"/>
        <v>225</v>
      </c>
      <c r="M9" s="419">
        <f t="shared" si="1"/>
        <v>337</v>
      </c>
      <c r="N9" s="419">
        <f t="shared" si="1"/>
        <v>180</v>
      </c>
    </row>
    <row r="10" spans="1:255" ht="21.75" customHeight="1" x14ac:dyDescent="0.25">
      <c r="A10" s="110">
        <v>1</v>
      </c>
      <c r="B10" s="410" t="s">
        <v>557</v>
      </c>
      <c r="C10" s="110" t="s">
        <v>55</v>
      </c>
      <c r="D10" s="412">
        <f>SUM(E10:N10)</f>
        <v>2887</v>
      </c>
      <c r="E10" s="412">
        <v>0</v>
      </c>
      <c r="F10" s="412">
        <f>ROUND(($D$9-$E$11)*16%,0)</f>
        <v>462</v>
      </c>
      <c r="G10" s="418">
        <f>ROUND(($D$9-$E$11-$F$10)/$D$8*G8,0)</f>
        <v>314</v>
      </c>
      <c r="H10" s="418">
        <f>ROUND(($D$9-$E$11-$F$10)/$D$8*H8,0)-1</f>
        <v>448</v>
      </c>
      <c r="I10" s="418">
        <f t="shared" ref="I10:N10" si="2">ROUND(($D$9-$E$11-$F$10)/$D$8*I8,0)</f>
        <v>225</v>
      </c>
      <c r="J10" s="418">
        <f t="shared" si="2"/>
        <v>314</v>
      </c>
      <c r="K10" s="418">
        <f t="shared" si="2"/>
        <v>382</v>
      </c>
      <c r="L10" s="418">
        <f t="shared" si="2"/>
        <v>225</v>
      </c>
      <c r="M10" s="418">
        <f t="shared" si="2"/>
        <v>337</v>
      </c>
      <c r="N10" s="418">
        <f t="shared" si="2"/>
        <v>180</v>
      </c>
      <c r="O10" s="421"/>
    </row>
    <row r="11" spans="1:255" ht="21.75" customHeight="1" x14ac:dyDescent="0.25">
      <c r="A11" s="110">
        <v>2</v>
      </c>
      <c r="B11" s="410" t="s">
        <v>558</v>
      </c>
      <c r="C11" s="110" t="s">
        <v>55</v>
      </c>
      <c r="D11" s="412">
        <f>SUM(E11:N11)</f>
        <v>9898</v>
      </c>
      <c r="E11" s="412">
        <v>9898</v>
      </c>
      <c r="F11" s="412">
        <v>0</v>
      </c>
      <c r="G11" s="418">
        <v>0</v>
      </c>
      <c r="H11" s="418">
        <v>0</v>
      </c>
      <c r="I11" s="418">
        <v>0</v>
      </c>
      <c r="J11" s="418">
        <v>0</v>
      </c>
      <c r="K11" s="418">
        <v>0</v>
      </c>
      <c r="L11" s="418">
        <v>0</v>
      </c>
      <c r="M11" s="418">
        <v>0</v>
      </c>
      <c r="N11" s="418">
        <v>0</v>
      </c>
      <c r="O11" s="421"/>
    </row>
    <row r="12" spans="1:255" s="420" customFormat="1" ht="39.75" customHeight="1" x14ac:dyDescent="0.25">
      <c r="A12" s="413" t="s">
        <v>56</v>
      </c>
      <c r="B12" s="109" t="s">
        <v>561</v>
      </c>
      <c r="C12" s="108"/>
      <c r="D12" s="419">
        <f>SUM(D13:D14)</f>
        <v>0</v>
      </c>
      <c r="E12" s="419">
        <f t="shared" ref="E12:N12" si="3">SUM(E13:E14)</f>
        <v>0</v>
      </c>
      <c r="F12" s="419">
        <f t="shared" si="3"/>
        <v>0</v>
      </c>
      <c r="G12" s="419">
        <f t="shared" si="3"/>
        <v>0</v>
      </c>
      <c r="H12" s="419">
        <f t="shared" si="3"/>
        <v>0</v>
      </c>
      <c r="I12" s="419">
        <f t="shared" si="3"/>
        <v>0</v>
      </c>
      <c r="J12" s="419">
        <f t="shared" si="3"/>
        <v>0</v>
      </c>
      <c r="K12" s="419">
        <f t="shared" si="3"/>
        <v>0</v>
      </c>
      <c r="L12" s="419">
        <f t="shared" si="3"/>
        <v>0</v>
      </c>
      <c r="M12" s="419">
        <f t="shared" si="3"/>
        <v>0</v>
      </c>
      <c r="N12" s="419">
        <f t="shared" si="3"/>
        <v>0</v>
      </c>
    </row>
    <row r="13" spans="1:255" ht="21.75" customHeight="1" x14ac:dyDescent="0.25">
      <c r="A13" s="110">
        <v>1</v>
      </c>
      <c r="B13" s="410" t="s">
        <v>557</v>
      </c>
      <c r="C13" s="110" t="s">
        <v>55</v>
      </c>
      <c r="D13" s="412"/>
      <c r="E13" s="412"/>
      <c r="F13" s="412"/>
      <c r="G13" s="412"/>
      <c r="H13" s="412"/>
      <c r="I13" s="412"/>
      <c r="J13" s="412"/>
      <c r="K13" s="412"/>
      <c r="L13" s="412"/>
      <c r="M13" s="412"/>
      <c r="N13" s="412"/>
      <c r="O13" s="421"/>
    </row>
    <row r="14" spans="1:255" ht="21.75" customHeight="1" x14ac:dyDescent="0.25">
      <c r="A14" s="110">
        <v>2</v>
      </c>
      <c r="B14" s="410" t="s">
        <v>558</v>
      </c>
      <c r="C14" s="110" t="s">
        <v>55</v>
      </c>
      <c r="D14" s="412"/>
      <c r="E14" s="412"/>
      <c r="F14" s="412"/>
      <c r="G14" s="412"/>
      <c r="H14" s="412"/>
      <c r="I14" s="412"/>
      <c r="J14" s="412"/>
      <c r="K14" s="412"/>
      <c r="L14" s="412"/>
      <c r="M14" s="412"/>
      <c r="N14" s="412"/>
      <c r="O14" s="421"/>
    </row>
    <row r="15" spans="1:255" s="420" customFormat="1" ht="21.75" customHeight="1" x14ac:dyDescent="0.25">
      <c r="A15" s="413" t="s">
        <v>57</v>
      </c>
      <c r="B15" s="109" t="s">
        <v>261</v>
      </c>
      <c r="C15" s="108"/>
      <c r="D15" s="419">
        <f>SUM(D16:D17)</f>
        <v>12785</v>
      </c>
      <c r="E15" s="419">
        <f t="shared" ref="E15:N15" si="4">SUM(E16:E17)</f>
        <v>9898</v>
      </c>
      <c r="F15" s="419">
        <f t="shared" si="4"/>
        <v>462</v>
      </c>
      <c r="G15" s="419">
        <f t="shared" si="4"/>
        <v>314</v>
      </c>
      <c r="H15" s="419">
        <f t="shared" si="4"/>
        <v>448</v>
      </c>
      <c r="I15" s="419">
        <f t="shared" si="4"/>
        <v>225</v>
      </c>
      <c r="J15" s="419">
        <f t="shared" si="4"/>
        <v>314</v>
      </c>
      <c r="K15" s="419">
        <f t="shared" si="4"/>
        <v>382</v>
      </c>
      <c r="L15" s="419">
        <f t="shared" si="4"/>
        <v>225</v>
      </c>
      <c r="M15" s="419">
        <f t="shared" si="4"/>
        <v>337</v>
      </c>
      <c r="N15" s="419">
        <f t="shared" si="4"/>
        <v>180</v>
      </c>
    </row>
    <row r="16" spans="1:255" ht="21.75" customHeight="1" x14ac:dyDescent="0.25">
      <c r="A16" s="110">
        <v>1</v>
      </c>
      <c r="B16" s="410" t="s">
        <v>559</v>
      </c>
      <c r="C16" s="110" t="s">
        <v>55</v>
      </c>
      <c r="D16" s="412">
        <f>SUM(E16:N16)</f>
        <v>2887</v>
      </c>
      <c r="E16" s="412">
        <f>E10+E13</f>
        <v>0</v>
      </c>
      <c r="F16" s="412">
        <f t="shared" ref="F16:N16" si="5">F10+F13</f>
        <v>462</v>
      </c>
      <c r="G16" s="412">
        <f t="shared" si="5"/>
        <v>314</v>
      </c>
      <c r="H16" s="412">
        <f t="shared" si="5"/>
        <v>448</v>
      </c>
      <c r="I16" s="412">
        <f t="shared" si="5"/>
        <v>225</v>
      </c>
      <c r="J16" s="412">
        <f t="shared" si="5"/>
        <v>314</v>
      </c>
      <c r="K16" s="412">
        <f t="shared" si="5"/>
        <v>382</v>
      </c>
      <c r="L16" s="412">
        <f t="shared" si="5"/>
        <v>225</v>
      </c>
      <c r="M16" s="412">
        <f t="shared" si="5"/>
        <v>337</v>
      </c>
      <c r="N16" s="412">
        <f t="shared" si="5"/>
        <v>180</v>
      </c>
    </row>
    <row r="17" spans="1:14" ht="21.75" customHeight="1" x14ac:dyDescent="0.25">
      <c r="A17" s="110">
        <v>2</v>
      </c>
      <c r="B17" s="410" t="s">
        <v>560</v>
      </c>
      <c r="C17" s="110" t="s">
        <v>55</v>
      </c>
      <c r="D17" s="412">
        <f>SUM(E17:N17)</f>
        <v>9898</v>
      </c>
      <c r="E17" s="412">
        <f>E11+E14</f>
        <v>9898</v>
      </c>
      <c r="F17" s="412">
        <f t="shared" ref="F17:N17" si="6">F11+F14</f>
        <v>0</v>
      </c>
      <c r="G17" s="412">
        <f t="shared" si="6"/>
        <v>0</v>
      </c>
      <c r="H17" s="412">
        <f t="shared" si="6"/>
        <v>0</v>
      </c>
      <c r="I17" s="412">
        <f t="shared" si="6"/>
        <v>0</v>
      </c>
      <c r="J17" s="412">
        <f t="shared" si="6"/>
        <v>0</v>
      </c>
      <c r="K17" s="412">
        <f t="shared" si="6"/>
        <v>0</v>
      </c>
      <c r="L17" s="412">
        <f t="shared" si="6"/>
        <v>0</v>
      </c>
      <c r="M17" s="412">
        <f t="shared" si="6"/>
        <v>0</v>
      </c>
      <c r="N17" s="412">
        <f t="shared" si="6"/>
        <v>0</v>
      </c>
    </row>
    <row r="18" spans="1:14" s="420" customFormat="1" ht="36.75" hidden="1" customHeight="1" x14ac:dyDescent="0.25">
      <c r="A18" s="471" t="s">
        <v>478</v>
      </c>
      <c r="B18" s="472" t="s">
        <v>573</v>
      </c>
      <c r="C18" s="465"/>
      <c r="D18" s="473">
        <f>SUM(D19:D20)</f>
        <v>13738.875547818097</v>
      </c>
      <c r="E18" s="473">
        <f>SUM(E19:E20)</f>
        <v>9897.7503944290293</v>
      </c>
      <c r="F18" s="473">
        <f t="shared" ref="F18" si="7">SUM(F19:F20)</f>
        <v>583.86002454225093</v>
      </c>
      <c r="G18" s="473">
        <f t="shared" ref="G18" si="8">SUM(G19:G20)</f>
        <v>419.12696114680955</v>
      </c>
      <c r="H18" s="473">
        <f t="shared" ref="H18" si="9">SUM(H19:H20)</f>
        <v>598.75280163829939</v>
      </c>
      <c r="I18" s="473">
        <f t="shared" ref="I18" si="10">SUM(I19:I20)</f>
        <v>299.37640081914969</v>
      </c>
      <c r="J18" s="473">
        <f t="shared" ref="J18" si="11">SUM(J19:J20)</f>
        <v>419.12696114680955</v>
      </c>
      <c r="K18" s="473">
        <f t="shared" ref="K18" si="12">SUM(K19:K20)</f>
        <v>366.93988139255453</v>
      </c>
      <c r="L18" s="473">
        <f t="shared" ref="L18" si="13">SUM(L19:L20)</f>
        <v>299.37640081914969</v>
      </c>
      <c r="M18" s="473">
        <f t="shared" ref="M18" si="14">SUM(M19:M20)</f>
        <v>615.06460122872454</v>
      </c>
      <c r="N18" s="473">
        <f t="shared" ref="N18" si="15">SUM(N19:N20)</f>
        <v>239.50112065531977</v>
      </c>
    </row>
    <row r="19" spans="1:14" ht="21.75" hidden="1" customHeight="1" x14ac:dyDescent="0.25">
      <c r="A19" s="432">
        <v>1</v>
      </c>
      <c r="B19" s="474" t="s">
        <v>559</v>
      </c>
      <c r="C19" s="432" t="s">
        <v>55</v>
      </c>
      <c r="D19" s="475">
        <f>SUM(E19:N19)</f>
        <v>3841.1251533890681</v>
      </c>
      <c r="E19" s="475"/>
      <c r="F19" s="475">
        <v>583.86002454225093</v>
      </c>
      <c r="G19" s="475">
        <v>419.12696114680955</v>
      </c>
      <c r="H19" s="475">
        <v>598.75280163829939</v>
      </c>
      <c r="I19" s="475">
        <v>299.37640081914969</v>
      </c>
      <c r="J19" s="475">
        <v>419.12696114680955</v>
      </c>
      <c r="K19" s="475">
        <v>366.93988139255453</v>
      </c>
      <c r="L19" s="475">
        <v>299.37640081914969</v>
      </c>
      <c r="M19" s="475">
        <v>615.06460122872454</v>
      </c>
      <c r="N19" s="475">
        <v>239.50112065531977</v>
      </c>
    </row>
    <row r="20" spans="1:14" ht="21.75" hidden="1" customHeight="1" x14ac:dyDescent="0.25">
      <c r="A20" s="432">
        <v>2</v>
      </c>
      <c r="B20" s="474" t="s">
        <v>560</v>
      </c>
      <c r="C20" s="432" t="s">
        <v>55</v>
      </c>
      <c r="D20" s="475">
        <f>SUM(E20:N20)</f>
        <v>9897.7503944290293</v>
      </c>
      <c r="E20" s="475">
        <v>9897.7503944290293</v>
      </c>
      <c r="F20" s="475"/>
      <c r="G20" s="475"/>
      <c r="H20" s="475"/>
      <c r="I20" s="475"/>
      <c r="J20" s="475"/>
      <c r="K20" s="475"/>
      <c r="L20" s="475"/>
      <c r="M20" s="475"/>
      <c r="N20" s="475"/>
    </row>
    <row r="21" spans="1:14" s="420" customFormat="1" ht="36.75" hidden="1" customHeight="1" x14ac:dyDescent="0.25">
      <c r="A21" s="471" t="s">
        <v>497</v>
      </c>
      <c r="B21" s="472" t="s">
        <v>571</v>
      </c>
      <c r="C21" s="465"/>
      <c r="D21" s="473">
        <f>SUM(D22:D23)</f>
        <v>-953.87554781809695</v>
      </c>
      <c r="E21" s="473">
        <f>SUM(E22:E23)</f>
        <v>0.24960557097074343</v>
      </c>
      <c r="F21" s="473">
        <f t="shared" ref="F21" si="16">SUM(F22:F23)</f>
        <v>-121.86002454225093</v>
      </c>
      <c r="G21" s="473">
        <f t="shared" ref="G21" si="17">SUM(G22:G23)</f>
        <v>-105.12696114680955</v>
      </c>
      <c r="H21" s="473">
        <f t="shared" ref="H21" si="18">SUM(H22:H23)</f>
        <v>-150.75280163829939</v>
      </c>
      <c r="I21" s="473">
        <f t="shared" ref="I21" si="19">SUM(I22:I23)</f>
        <v>-74.376400819149694</v>
      </c>
      <c r="J21" s="473">
        <f t="shared" ref="J21" si="20">SUM(J22:J23)</f>
        <v>-105.12696114680955</v>
      </c>
      <c r="K21" s="473">
        <f t="shared" ref="K21" si="21">SUM(K22:K23)</f>
        <v>15.060118607445474</v>
      </c>
      <c r="L21" s="473">
        <f t="shared" ref="L21" si="22">SUM(L22:L23)</f>
        <v>-74.376400819149694</v>
      </c>
      <c r="M21" s="473">
        <f t="shared" ref="M21" si="23">SUM(M22:M23)</f>
        <v>-278.06460122872454</v>
      </c>
      <c r="N21" s="473">
        <f t="shared" ref="N21" si="24">SUM(N22:N23)</f>
        <v>-59.501120655319767</v>
      </c>
    </row>
    <row r="22" spans="1:14" ht="21.75" hidden="1" customHeight="1" x14ac:dyDescent="0.25">
      <c r="A22" s="432">
        <v>1</v>
      </c>
      <c r="B22" s="474" t="s">
        <v>559</v>
      </c>
      <c r="C22" s="432" t="s">
        <v>55</v>
      </c>
      <c r="D22" s="475">
        <f>SUM(E22:N22)</f>
        <v>-954.12515338906769</v>
      </c>
      <c r="E22" s="475">
        <f>E16-E19</f>
        <v>0</v>
      </c>
      <c r="F22" s="475">
        <f t="shared" ref="F22:N22" si="25">F16-F19</f>
        <v>-121.86002454225093</v>
      </c>
      <c r="G22" s="475">
        <f t="shared" si="25"/>
        <v>-105.12696114680955</v>
      </c>
      <c r="H22" s="475">
        <f t="shared" si="25"/>
        <v>-150.75280163829939</v>
      </c>
      <c r="I22" s="475">
        <f t="shared" si="25"/>
        <v>-74.376400819149694</v>
      </c>
      <c r="J22" s="475">
        <f t="shared" si="25"/>
        <v>-105.12696114680955</v>
      </c>
      <c r="K22" s="475">
        <f t="shared" si="25"/>
        <v>15.060118607445474</v>
      </c>
      <c r="L22" s="475">
        <f t="shared" si="25"/>
        <v>-74.376400819149694</v>
      </c>
      <c r="M22" s="475">
        <f t="shared" si="25"/>
        <v>-278.06460122872454</v>
      </c>
      <c r="N22" s="475">
        <f t="shared" si="25"/>
        <v>-59.501120655319767</v>
      </c>
    </row>
    <row r="23" spans="1:14" ht="21.75" hidden="1" customHeight="1" x14ac:dyDescent="0.25">
      <c r="A23" s="435">
        <v>2</v>
      </c>
      <c r="B23" s="476" t="s">
        <v>560</v>
      </c>
      <c r="C23" s="435" t="s">
        <v>55</v>
      </c>
      <c r="D23" s="477">
        <f>SUM(E23:N23)</f>
        <v>0.24960557097074343</v>
      </c>
      <c r="E23" s="477">
        <f>E17-E20</f>
        <v>0.24960557097074343</v>
      </c>
      <c r="F23" s="477">
        <f t="shared" ref="F23:N23" si="26">F17-F20</f>
        <v>0</v>
      </c>
      <c r="G23" s="477">
        <f t="shared" si="26"/>
        <v>0</v>
      </c>
      <c r="H23" s="477">
        <f t="shared" si="26"/>
        <v>0</v>
      </c>
      <c r="I23" s="477">
        <f t="shared" si="26"/>
        <v>0</v>
      </c>
      <c r="J23" s="477">
        <f t="shared" si="26"/>
        <v>0</v>
      </c>
      <c r="K23" s="477">
        <f t="shared" si="26"/>
        <v>0</v>
      </c>
      <c r="L23" s="477">
        <f t="shared" si="26"/>
        <v>0</v>
      </c>
      <c r="M23" s="477">
        <f t="shared" si="26"/>
        <v>0</v>
      </c>
      <c r="N23" s="477">
        <f t="shared" si="26"/>
        <v>0</v>
      </c>
    </row>
    <row r="24" spans="1:14" x14ac:dyDescent="0.25">
      <c r="A24" s="422"/>
      <c r="B24" s="422"/>
      <c r="C24" s="422"/>
      <c r="D24" s="422"/>
      <c r="E24" s="422"/>
      <c r="F24" s="422"/>
      <c r="G24" s="422"/>
      <c r="H24" s="422"/>
      <c r="I24" s="422"/>
      <c r="J24" s="422"/>
      <c r="K24" s="422"/>
      <c r="L24" s="422"/>
      <c r="M24" s="422"/>
      <c r="N24" s="422"/>
    </row>
    <row r="27" spans="1:14" x14ac:dyDescent="0.25">
      <c r="H27" s="423"/>
      <c r="I27" s="331"/>
    </row>
    <row r="28" spans="1:14" x14ac:dyDescent="0.25">
      <c r="H28" s="424"/>
    </row>
  </sheetData>
  <mergeCells count="22">
    <mergeCell ref="CZ3:DL3"/>
    <mergeCell ref="AM3:AY3"/>
    <mergeCell ref="AZ3:BL3"/>
    <mergeCell ref="BM3:BY3"/>
    <mergeCell ref="BZ3:CL3"/>
    <mergeCell ref="CM3:CY3"/>
    <mergeCell ref="K1:N1"/>
    <mergeCell ref="GZ3:HL3"/>
    <mergeCell ref="HM3:HY3"/>
    <mergeCell ref="HZ3:IL3"/>
    <mergeCell ref="IM3:IU3"/>
    <mergeCell ref="DZ3:EL3"/>
    <mergeCell ref="EM3:EY3"/>
    <mergeCell ref="EZ3:FL3"/>
    <mergeCell ref="FM3:FY3"/>
    <mergeCell ref="FZ3:GL3"/>
    <mergeCell ref="GM3:GY3"/>
    <mergeCell ref="DM3:DY3"/>
    <mergeCell ref="A2:N2"/>
    <mergeCell ref="A3:N3"/>
    <mergeCell ref="O3:Y3"/>
    <mergeCell ref="Z3:AL3"/>
  </mergeCells>
  <pageMargins left="0.55118110236220474" right="0.27559055118110237" top="0.55118110236220474" bottom="0.74803149606299213" header="0.31496062992125984" footer="0.31496062992125984"/>
  <pageSetup paperSize="9" scale="84" firstPageNumber="172" fitToHeight="0" orientation="landscape" useFirstPageNumber="1" r:id="rId1"/>
  <headerFooter>
    <oddHeader>&amp;C&amp;P</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22"/>
  <sheetViews>
    <sheetView view="pageLayout" zoomScale="70" zoomScaleNormal="100" zoomScalePageLayoutView="70" workbookViewId="0">
      <selection activeCell="G9" sqref="G9"/>
    </sheetView>
  </sheetViews>
  <sheetFormatPr defaultColWidth="7.75" defaultRowHeight="15.75" x14ac:dyDescent="0.25"/>
  <cols>
    <col min="1" max="1" width="6.75" style="54" customWidth="1"/>
    <col min="2" max="2" width="40.5" style="54" customWidth="1"/>
    <col min="3" max="3" width="10.875" style="54" customWidth="1"/>
    <col min="4" max="13" width="10.125" style="54" customWidth="1"/>
    <col min="14" max="16384" width="7.75" style="54"/>
  </cols>
  <sheetData>
    <row r="1" spans="1:13" s="27" customFormat="1" ht="29.25" customHeight="1" x14ac:dyDescent="0.25">
      <c r="A1" s="23"/>
      <c r="B1" s="23"/>
      <c r="C1" s="26"/>
      <c r="D1" s="26"/>
      <c r="E1" s="26"/>
      <c r="F1" s="26"/>
      <c r="I1" s="23"/>
      <c r="J1" s="831" t="s">
        <v>617</v>
      </c>
      <c r="K1" s="831"/>
      <c r="L1" s="831"/>
      <c r="M1" s="831"/>
    </row>
    <row r="2" spans="1:13" s="27" customFormat="1" ht="47.25" customHeight="1" x14ac:dyDescent="0.25">
      <c r="A2" s="796" t="s">
        <v>95</v>
      </c>
      <c r="B2" s="796"/>
      <c r="C2" s="796"/>
      <c r="D2" s="796"/>
      <c r="E2" s="796"/>
      <c r="F2" s="796"/>
      <c r="G2" s="796"/>
      <c r="H2" s="796"/>
      <c r="I2" s="796"/>
      <c r="J2" s="796"/>
      <c r="K2" s="796"/>
      <c r="L2" s="796"/>
      <c r="M2" s="796"/>
    </row>
    <row r="3" spans="1:13" s="27" customFormat="1" ht="31.5" customHeight="1" x14ac:dyDescent="0.25">
      <c r="A3" s="825" t="str">
        <f>'B7-TDA2,DA5'!A3:N3</f>
        <v>(Kèm theo Báo cáo số:          /BC-UBND ngày          tháng 11 năm 2023 của UBND tỉnh)</v>
      </c>
      <c r="B3" s="825"/>
      <c r="C3" s="825"/>
      <c r="D3" s="825"/>
      <c r="E3" s="825"/>
      <c r="F3" s="825"/>
      <c r="G3" s="825"/>
      <c r="H3" s="825"/>
      <c r="I3" s="825"/>
      <c r="J3" s="825"/>
      <c r="K3" s="825"/>
      <c r="L3" s="825"/>
      <c r="M3" s="825"/>
    </row>
    <row r="4" spans="1:13" s="52" customFormat="1" ht="94.5" customHeight="1" x14ac:dyDescent="0.25">
      <c r="A4" s="51" t="s">
        <v>1</v>
      </c>
      <c r="B4" s="51" t="s">
        <v>35</v>
      </c>
      <c r="C4" s="51" t="s">
        <v>36</v>
      </c>
      <c r="D4" s="51" t="s">
        <v>37</v>
      </c>
      <c r="E4" s="51" t="s">
        <v>92</v>
      </c>
      <c r="F4" s="51" t="s">
        <v>38</v>
      </c>
      <c r="G4" s="51" t="s">
        <v>39</v>
      </c>
      <c r="H4" s="51" t="s">
        <v>40</v>
      </c>
      <c r="I4" s="51" t="s">
        <v>41</v>
      </c>
      <c r="J4" s="51" t="s">
        <v>42</v>
      </c>
      <c r="K4" s="51" t="s">
        <v>43</v>
      </c>
      <c r="L4" s="51" t="s">
        <v>44</v>
      </c>
      <c r="M4" s="51" t="s">
        <v>45</v>
      </c>
    </row>
    <row r="5" spans="1:13" s="52" customFormat="1" ht="23.25" customHeight="1" x14ac:dyDescent="0.25">
      <c r="A5" s="162" t="s">
        <v>46</v>
      </c>
      <c r="B5" s="174" t="s">
        <v>47</v>
      </c>
      <c r="C5" s="162"/>
      <c r="D5" s="162"/>
      <c r="E5" s="162"/>
      <c r="F5" s="162"/>
      <c r="G5" s="162"/>
      <c r="H5" s="162"/>
      <c r="I5" s="162"/>
      <c r="J5" s="162"/>
      <c r="K5" s="162"/>
      <c r="L5" s="162"/>
      <c r="M5" s="162"/>
    </row>
    <row r="6" spans="1:13" s="52" customFormat="1" ht="23.25" customHeight="1" x14ac:dyDescent="0.25">
      <c r="A6" s="163">
        <v>1</v>
      </c>
      <c r="B6" s="175" t="s">
        <v>93</v>
      </c>
      <c r="C6" s="164" t="s">
        <v>94</v>
      </c>
      <c r="D6" s="178">
        <f>SUM(F6:M6)</f>
        <v>3200</v>
      </c>
      <c r="E6" s="178"/>
      <c r="F6" s="178">
        <v>400</v>
      </c>
      <c r="G6" s="178">
        <v>400</v>
      </c>
      <c r="H6" s="178">
        <v>400</v>
      </c>
      <c r="I6" s="178">
        <v>400</v>
      </c>
      <c r="J6" s="178">
        <v>400</v>
      </c>
      <c r="K6" s="178">
        <v>400</v>
      </c>
      <c r="L6" s="178">
        <v>400</v>
      </c>
      <c r="M6" s="178">
        <v>400</v>
      </c>
    </row>
    <row r="7" spans="1:13" s="53" customFormat="1" ht="23.25" customHeight="1" x14ac:dyDescent="0.25">
      <c r="A7" s="166" t="s">
        <v>31</v>
      </c>
      <c r="B7" s="176" t="s">
        <v>79</v>
      </c>
      <c r="C7" s="166"/>
      <c r="D7" s="179"/>
      <c r="E7" s="179"/>
      <c r="F7" s="179"/>
      <c r="G7" s="179"/>
      <c r="H7" s="179"/>
      <c r="I7" s="179"/>
      <c r="J7" s="179"/>
      <c r="K7" s="179"/>
      <c r="L7" s="179"/>
      <c r="M7" s="179"/>
    </row>
    <row r="8" spans="1:13" ht="23.25" customHeight="1" x14ac:dyDescent="0.25">
      <c r="A8" s="163">
        <v>1</v>
      </c>
      <c r="B8" s="175" t="s">
        <v>93</v>
      </c>
      <c r="C8" s="167">
        <v>3.5000000000000003E-2</v>
      </c>
      <c r="D8" s="178">
        <f>SUM(F8:M8)</f>
        <v>112.00000000000001</v>
      </c>
      <c r="E8" s="178"/>
      <c r="F8" s="180">
        <f>F6*$C$8</f>
        <v>14.000000000000002</v>
      </c>
      <c r="G8" s="180">
        <f t="shared" ref="G8:M8" si="0">G6*$C$8</f>
        <v>14.000000000000002</v>
      </c>
      <c r="H8" s="180">
        <f t="shared" si="0"/>
        <v>14.000000000000002</v>
      </c>
      <c r="I8" s="180">
        <f t="shared" si="0"/>
        <v>14.000000000000002</v>
      </c>
      <c r="J8" s="180">
        <f t="shared" si="0"/>
        <v>14.000000000000002</v>
      </c>
      <c r="K8" s="180">
        <f t="shared" si="0"/>
        <v>14.000000000000002</v>
      </c>
      <c r="L8" s="180">
        <f t="shared" si="0"/>
        <v>14.000000000000002</v>
      </c>
      <c r="M8" s="180">
        <f t="shared" si="0"/>
        <v>14.000000000000002</v>
      </c>
    </row>
    <row r="9" spans="1:13" s="182" customFormat="1" ht="23.25" customHeight="1" x14ac:dyDescent="0.25">
      <c r="A9" s="103" t="s">
        <v>54</v>
      </c>
      <c r="B9" s="161" t="s">
        <v>575</v>
      </c>
      <c r="C9" s="165"/>
      <c r="D9" s="181">
        <v>30000</v>
      </c>
      <c r="E9" s="181">
        <f>E10</f>
        <v>750</v>
      </c>
      <c r="F9" s="181">
        <f t="shared" ref="F9:M9" si="1">F10</f>
        <v>3656</v>
      </c>
      <c r="G9" s="181">
        <f t="shared" si="1"/>
        <v>3656</v>
      </c>
      <c r="H9" s="181">
        <f t="shared" si="1"/>
        <v>3657</v>
      </c>
      <c r="I9" s="181">
        <f t="shared" si="1"/>
        <v>3656</v>
      </c>
      <c r="J9" s="181">
        <f t="shared" si="1"/>
        <v>3656</v>
      </c>
      <c r="K9" s="181">
        <f t="shared" si="1"/>
        <v>3657</v>
      </c>
      <c r="L9" s="181">
        <f t="shared" si="1"/>
        <v>3656</v>
      </c>
      <c r="M9" s="181">
        <f t="shared" si="1"/>
        <v>3656</v>
      </c>
    </row>
    <row r="10" spans="1:13" ht="23.25" customHeight="1" x14ac:dyDescent="0.25">
      <c r="A10" s="105">
        <v>1</v>
      </c>
      <c r="B10" s="159" t="s">
        <v>153</v>
      </c>
      <c r="C10" s="163" t="s">
        <v>55</v>
      </c>
      <c r="D10" s="178">
        <f>SUM(E10:M10)</f>
        <v>30000</v>
      </c>
      <c r="E10" s="178">
        <f>ROUND(D9*2.5%,0)</f>
        <v>750</v>
      </c>
      <c r="F10" s="178">
        <f>ROUND(($D$9-$E$9)/$D$8*F8,0)</f>
        <v>3656</v>
      </c>
      <c r="G10" s="178">
        <f>ROUND(($D$9-$E$9)/$D$8*G8,0)</f>
        <v>3656</v>
      </c>
      <c r="H10" s="178">
        <f>ROUND(($D$9-$E$9)/$D$8*H8,0)+1</f>
        <v>3657</v>
      </c>
      <c r="I10" s="178">
        <f t="shared" ref="I10:L10" si="2">ROUND(($D$9-$E$9)/$D$8*I8,0)</f>
        <v>3656</v>
      </c>
      <c r="J10" s="178">
        <f t="shared" si="2"/>
        <v>3656</v>
      </c>
      <c r="K10" s="178">
        <f>ROUND(($D$9-$E$9)/$D$8*K8,0)+1</f>
        <v>3657</v>
      </c>
      <c r="L10" s="178">
        <f t="shared" si="2"/>
        <v>3656</v>
      </c>
      <c r="M10" s="178">
        <f>ROUND(($D$9-$E$9)/$D$8*M8,0)</f>
        <v>3656</v>
      </c>
    </row>
    <row r="11" spans="1:13" s="182" customFormat="1" ht="36" customHeight="1" x14ac:dyDescent="0.25">
      <c r="A11" s="103" t="s">
        <v>56</v>
      </c>
      <c r="B11" s="161" t="s">
        <v>602</v>
      </c>
      <c r="C11" s="163"/>
      <c r="D11" s="181">
        <f>D12</f>
        <v>2447</v>
      </c>
      <c r="E11" s="181">
        <f t="shared" ref="E11:M11" si="3">E12</f>
        <v>61</v>
      </c>
      <c r="F11" s="181">
        <f t="shared" si="3"/>
        <v>298</v>
      </c>
      <c r="G11" s="181">
        <f t="shared" si="3"/>
        <v>298</v>
      </c>
      <c r="H11" s="181">
        <f t="shared" si="3"/>
        <v>299</v>
      </c>
      <c r="I11" s="181">
        <f t="shared" si="3"/>
        <v>298</v>
      </c>
      <c r="J11" s="181">
        <f t="shared" si="3"/>
        <v>298</v>
      </c>
      <c r="K11" s="181">
        <f t="shared" si="3"/>
        <v>299</v>
      </c>
      <c r="L11" s="181">
        <f t="shared" si="3"/>
        <v>298</v>
      </c>
      <c r="M11" s="181">
        <f t="shared" si="3"/>
        <v>298</v>
      </c>
    </row>
    <row r="12" spans="1:13" ht="23.25" customHeight="1" x14ac:dyDescent="0.25">
      <c r="A12" s="105">
        <v>1</v>
      </c>
      <c r="B12" s="159" t="s">
        <v>153</v>
      </c>
      <c r="C12" s="163" t="s">
        <v>55</v>
      </c>
      <c r="D12" s="178">
        <f>SUM(E12:M12)</f>
        <v>2447</v>
      </c>
      <c r="E12" s="178">
        <f>ROUND(E10*8.155%,0)</f>
        <v>61</v>
      </c>
      <c r="F12" s="178">
        <f t="shared" ref="F12:M12" si="4">ROUND(F10*8.155%,0)</f>
        <v>298</v>
      </c>
      <c r="G12" s="178">
        <f t="shared" si="4"/>
        <v>298</v>
      </c>
      <c r="H12" s="178">
        <f>ROUND(H10*8.155%,0)+1</f>
        <v>299</v>
      </c>
      <c r="I12" s="178">
        <f t="shared" si="4"/>
        <v>298</v>
      </c>
      <c r="J12" s="178">
        <f t="shared" si="4"/>
        <v>298</v>
      </c>
      <c r="K12" s="178">
        <f>ROUND(K10*8.155%,0)+1</f>
        <v>299</v>
      </c>
      <c r="L12" s="178">
        <f t="shared" si="4"/>
        <v>298</v>
      </c>
      <c r="M12" s="178">
        <f t="shared" si="4"/>
        <v>298</v>
      </c>
    </row>
    <row r="13" spans="1:13" s="182" customFormat="1" ht="23.25" customHeight="1" x14ac:dyDescent="0.25">
      <c r="A13" s="103" t="s">
        <v>57</v>
      </c>
      <c r="B13" s="161" t="s">
        <v>261</v>
      </c>
      <c r="C13" s="163"/>
      <c r="D13" s="181">
        <f>D14</f>
        <v>32447</v>
      </c>
      <c r="E13" s="181">
        <f>E14</f>
        <v>811</v>
      </c>
      <c r="F13" s="181">
        <f t="shared" ref="F13:M13" si="5">F14</f>
        <v>3954</v>
      </c>
      <c r="G13" s="181">
        <f t="shared" si="5"/>
        <v>3954</v>
      </c>
      <c r="H13" s="181">
        <f t="shared" si="5"/>
        <v>3956</v>
      </c>
      <c r="I13" s="181">
        <f t="shared" si="5"/>
        <v>3954</v>
      </c>
      <c r="J13" s="181">
        <f t="shared" si="5"/>
        <v>3954</v>
      </c>
      <c r="K13" s="181">
        <f t="shared" si="5"/>
        <v>3956</v>
      </c>
      <c r="L13" s="181">
        <f t="shared" si="5"/>
        <v>3954</v>
      </c>
      <c r="M13" s="181">
        <f t="shared" si="5"/>
        <v>3954</v>
      </c>
    </row>
    <row r="14" spans="1:13" ht="23.25" customHeight="1" x14ac:dyDescent="0.25">
      <c r="A14" s="539">
        <v>1</v>
      </c>
      <c r="B14" s="540" t="s">
        <v>153</v>
      </c>
      <c r="C14" s="541" t="s">
        <v>55</v>
      </c>
      <c r="D14" s="527">
        <f>SUM(E14:M14)</f>
        <v>32447</v>
      </c>
      <c r="E14" s="527">
        <f>E10+E12</f>
        <v>811</v>
      </c>
      <c r="F14" s="527">
        <f t="shared" ref="F14:M14" si="6">F10+F12</f>
        <v>3954</v>
      </c>
      <c r="G14" s="527">
        <f t="shared" si="6"/>
        <v>3954</v>
      </c>
      <c r="H14" s="527">
        <f t="shared" si="6"/>
        <v>3956</v>
      </c>
      <c r="I14" s="527">
        <f t="shared" si="6"/>
        <v>3954</v>
      </c>
      <c r="J14" s="527">
        <f t="shared" si="6"/>
        <v>3954</v>
      </c>
      <c r="K14" s="527">
        <f t="shared" si="6"/>
        <v>3956</v>
      </c>
      <c r="L14" s="527">
        <f t="shared" si="6"/>
        <v>3954</v>
      </c>
      <c r="M14" s="527">
        <f t="shared" si="6"/>
        <v>3954</v>
      </c>
    </row>
    <row r="15" spans="1:13" s="182" customFormat="1" ht="37.5" hidden="1" customHeight="1" x14ac:dyDescent="0.25">
      <c r="A15" s="535" t="s">
        <v>478</v>
      </c>
      <c r="B15" s="536" t="s">
        <v>573</v>
      </c>
      <c r="C15" s="537"/>
      <c r="D15" s="538">
        <f>D16</f>
        <v>29728.938061041295</v>
      </c>
      <c r="E15" s="538">
        <f>E16</f>
        <v>870.94010119144775</v>
      </c>
      <c r="F15" s="538">
        <f t="shared" ref="F15" si="7">F16</f>
        <v>4245.8329933083078</v>
      </c>
      <c r="G15" s="538">
        <f t="shared" ref="G15" si="8">G16</f>
        <v>4245.8329933083078</v>
      </c>
      <c r="H15" s="538">
        <f t="shared" ref="H15" si="9">H16</f>
        <v>4245.8329933083078</v>
      </c>
      <c r="I15" s="538">
        <f t="shared" ref="I15" si="10">I16</f>
        <v>4245.8329933083078</v>
      </c>
      <c r="J15" s="538">
        <f t="shared" ref="J15" si="11">J16</f>
        <v>4245.8329933083078</v>
      </c>
      <c r="K15" s="538">
        <f t="shared" ref="K15" si="12">K16</f>
        <v>4245.8329933083078</v>
      </c>
      <c r="L15" s="538">
        <f t="shared" ref="L15" si="13">L16</f>
        <v>2183</v>
      </c>
      <c r="M15" s="538">
        <f t="shared" ref="M15" si="14">M16</f>
        <v>1200</v>
      </c>
    </row>
    <row r="16" spans="1:13" ht="23.25" hidden="1" customHeight="1" x14ac:dyDescent="0.25">
      <c r="A16" s="432">
        <v>1</v>
      </c>
      <c r="B16" s="467" t="s">
        <v>153</v>
      </c>
      <c r="C16" s="478" t="s">
        <v>55</v>
      </c>
      <c r="D16" s="447">
        <f>SUM(E16:M16)</f>
        <v>29728.938061041295</v>
      </c>
      <c r="E16" s="447">
        <v>870.94010119144775</v>
      </c>
      <c r="F16" s="447">
        <v>4245.8329933083078</v>
      </c>
      <c r="G16" s="447">
        <v>4245.8329933083078</v>
      </c>
      <c r="H16" s="447">
        <v>4245.8329933083078</v>
      </c>
      <c r="I16" s="447">
        <v>4245.8329933083078</v>
      </c>
      <c r="J16" s="447">
        <v>4245.8329933083078</v>
      </c>
      <c r="K16" s="447">
        <v>4245.8329933083078</v>
      </c>
      <c r="L16" s="447">
        <v>2183</v>
      </c>
      <c r="M16" s="447">
        <v>1200</v>
      </c>
    </row>
    <row r="17" spans="1:13" s="182" customFormat="1" ht="37.5" hidden="1" customHeight="1" x14ac:dyDescent="0.25">
      <c r="A17" s="465" t="s">
        <v>497</v>
      </c>
      <c r="B17" s="466" t="s">
        <v>571</v>
      </c>
      <c r="C17" s="478"/>
      <c r="D17" s="470">
        <f>D18</f>
        <v>2718.0619389587055</v>
      </c>
      <c r="E17" s="470">
        <f>E18</f>
        <v>-59.940101191447752</v>
      </c>
      <c r="F17" s="470">
        <f t="shared" ref="F17" si="15">F18</f>
        <v>-291.83299330830778</v>
      </c>
      <c r="G17" s="470">
        <f t="shared" ref="G17" si="16">G18</f>
        <v>-291.83299330830778</v>
      </c>
      <c r="H17" s="470">
        <f t="shared" ref="H17" si="17">H18</f>
        <v>-289.83299330830778</v>
      </c>
      <c r="I17" s="470">
        <f t="shared" ref="I17" si="18">I18</f>
        <v>-291.83299330830778</v>
      </c>
      <c r="J17" s="470">
        <f t="shared" ref="J17" si="19">J18</f>
        <v>-291.83299330830778</v>
      </c>
      <c r="K17" s="470">
        <f t="shared" ref="K17" si="20">K18</f>
        <v>-289.83299330830778</v>
      </c>
      <c r="L17" s="470">
        <f t="shared" ref="L17" si="21">L18</f>
        <v>1771</v>
      </c>
      <c r="M17" s="470">
        <f t="shared" ref="M17" si="22">M18</f>
        <v>2754</v>
      </c>
    </row>
    <row r="18" spans="1:13" ht="23.25" hidden="1" customHeight="1" x14ac:dyDescent="0.25">
      <c r="A18" s="435">
        <v>1</v>
      </c>
      <c r="B18" s="468" t="s">
        <v>153</v>
      </c>
      <c r="C18" s="479" t="s">
        <v>55</v>
      </c>
      <c r="D18" s="449">
        <f>SUM(E18:M18)</f>
        <v>2718.0619389587055</v>
      </c>
      <c r="E18" s="449">
        <f>E14-E16</f>
        <v>-59.940101191447752</v>
      </c>
      <c r="F18" s="449">
        <f t="shared" ref="F18:M18" si="23">F14-F16</f>
        <v>-291.83299330830778</v>
      </c>
      <c r="G18" s="449">
        <f t="shared" si="23"/>
        <v>-291.83299330830778</v>
      </c>
      <c r="H18" s="449">
        <f t="shared" si="23"/>
        <v>-289.83299330830778</v>
      </c>
      <c r="I18" s="449">
        <f t="shared" si="23"/>
        <v>-291.83299330830778</v>
      </c>
      <c r="J18" s="449">
        <f t="shared" si="23"/>
        <v>-291.83299330830778</v>
      </c>
      <c r="K18" s="449">
        <f t="shared" si="23"/>
        <v>-289.83299330830778</v>
      </c>
      <c r="L18" s="449">
        <f t="shared" si="23"/>
        <v>1771</v>
      </c>
      <c r="M18" s="449">
        <f t="shared" si="23"/>
        <v>2754</v>
      </c>
    </row>
    <row r="22" spans="1:13" x14ac:dyDescent="0.25">
      <c r="D22" s="594"/>
    </row>
  </sheetData>
  <mergeCells count="3">
    <mergeCell ref="A2:M2"/>
    <mergeCell ref="A3:M3"/>
    <mergeCell ref="J1:M1"/>
  </mergeCells>
  <pageMargins left="0.70866141732283472" right="0.70866141732283472" top="0.55118110236220474" bottom="0.74803149606299213" header="0.31496062992125984" footer="0.31496062992125984"/>
  <pageSetup paperSize="9" scale="75" firstPageNumber="173" fitToHeight="0" orientation="landscape" useFirstPageNumber="1" r:id="rId1"/>
  <headerFooter>
    <oddHeader>&amp;C&amp;P</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20"/>
  <sheetViews>
    <sheetView view="pageLayout" zoomScale="70" zoomScaleNormal="100" zoomScalePageLayoutView="70" workbookViewId="0">
      <selection activeCell="B1" sqref="B1:B1048576"/>
    </sheetView>
  </sheetViews>
  <sheetFormatPr defaultColWidth="7.75" defaultRowHeight="15.75" x14ac:dyDescent="0.25"/>
  <cols>
    <col min="1" max="1" width="6.75" style="345" customWidth="1"/>
    <col min="2" max="2" width="38" style="734" customWidth="1"/>
    <col min="3" max="3" width="10.875" style="345" customWidth="1"/>
    <col min="4" max="13" width="10.125" style="345" customWidth="1"/>
    <col min="14" max="16384" width="7.75" style="345"/>
  </cols>
  <sheetData>
    <row r="1" spans="1:13" s="27" customFormat="1" ht="29.25" customHeight="1" x14ac:dyDescent="0.25">
      <c r="A1" s="23"/>
      <c r="B1" s="722"/>
      <c r="C1" s="334"/>
      <c r="D1" s="334"/>
      <c r="E1" s="334"/>
      <c r="F1" s="334"/>
      <c r="I1" s="23"/>
      <c r="J1" s="831" t="s">
        <v>618</v>
      </c>
      <c r="K1" s="831"/>
      <c r="L1" s="831"/>
      <c r="M1" s="831"/>
    </row>
    <row r="2" spans="1:13" s="27" customFormat="1" ht="47.25" customHeight="1" x14ac:dyDescent="0.25">
      <c r="A2" s="796" t="s">
        <v>154</v>
      </c>
      <c r="B2" s="796"/>
      <c r="C2" s="796"/>
      <c r="D2" s="796"/>
      <c r="E2" s="796"/>
      <c r="F2" s="796"/>
      <c r="G2" s="796"/>
      <c r="H2" s="796"/>
      <c r="I2" s="796"/>
      <c r="J2" s="796"/>
      <c r="K2" s="796"/>
      <c r="L2" s="796"/>
      <c r="M2" s="796"/>
    </row>
    <row r="3" spans="1:13" s="27" customFormat="1" ht="31.5" customHeight="1" x14ac:dyDescent="0.25">
      <c r="A3" s="825" t="str">
        <f>'B7-TDA2,DA5'!A3:N3</f>
        <v>(Kèm theo Báo cáo số:          /BC-UBND ngày          tháng 11 năm 2023 của UBND tỉnh)</v>
      </c>
      <c r="B3" s="825"/>
      <c r="C3" s="825"/>
      <c r="D3" s="825"/>
      <c r="E3" s="825"/>
      <c r="F3" s="825"/>
      <c r="G3" s="825"/>
      <c r="H3" s="825"/>
      <c r="I3" s="825"/>
      <c r="J3" s="825"/>
      <c r="K3" s="825"/>
      <c r="L3" s="825"/>
      <c r="M3" s="825"/>
    </row>
    <row r="4" spans="1:13" s="336" customFormat="1" ht="62.25" customHeight="1" x14ac:dyDescent="0.25">
      <c r="A4" s="335" t="s">
        <v>1</v>
      </c>
      <c r="B4" s="723" t="s">
        <v>35</v>
      </c>
      <c r="C4" s="335" t="s">
        <v>36</v>
      </c>
      <c r="D4" s="335" t="s">
        <v>37</v>
      </c>
      <c r="E4" s="335" t="s">
        <v>130</v>
      </c>
      <c r="F4" s="335" t="s">
        <v>38</v>
      </c>
      <c r="G4" s="335" t="s">
        <v>39</v>
      </c>
      <c r="H4" s="335" t="s">
        <v>40</v>
      </c>
      <c r="I4" s="335" t="s">
        <v>41</v>
      </c>
      <c r="J4" s="335" t="s">
        <v>42</v>
      </c>
      <c r="K4" s="335" t="s">
        <v>43</v>
      </c>
      <c r="L4" s="335" t="s">
        <v>44</v>
      </c>
      <c r="M4" s="335" t="s">
        <v>45</v>
      </c>
    </row>
    <row r="5" spans="1:13" s="336" customFormat="1" ht="24.75" customHeight="1" x14ac:dyDescent="0.25">
      <c r="A5" s="337" t="s">
        <v>46</v>
      </c>
      <c r="B5" s="724" t="s">
        <v>47</v>
      </c>
      <c r="C5" s="337"/>
      <c r="D5" s="337"/>
      <c r="E5" s="337"/>
      <c r="F5" s="337"/>
      <c r="G5" s="337"/>
      <c r="H5" s="337"/>
      <c r="I5" s="337"/>
      <c r="J5" s="337"/>
      <c r="K5" s="337"/>
      <c r="L5" s="337"/>
      <c r="M5" s="337"/>
    </row>
    <row r="6" spans="1:13" s="336" customFormat="1" ht="70.5" customHeight="1" x14ac:dyDescent="0.25">
      <c r="A6" s="338">
        <v>1</v>
      </c>
      <c r="B6" s="725" t="s">
        <v>155</v>
      </c>
      <c r="C6" s="338" t="s">
        <v>70</v>
      </c>
      <c r="D6" s="339">
        <f>SUM(F6:M6)</f>
        <v>69</v>
      </c>
      <c r="E6" s="339"/>
      <c r="F6" s="339">
        <v>8</v>
      </c>
      <c r="G6" s="339">
        <v>10</v>
      </c>
      <c r="H6" s="339">
        <v>9</v>
      </c>
      <c r="I6" s="339">
        <v>8</v>
      </c>
      <c r="J6" s="339">
        <v>14</v>
      </c>
      <c r="K6" s="339">
        <v>10</v>
      </c>
      <c r="L6" s="339">
        <v>10</v>
      </c>
      <c r="M6" s="339">
        <v>0</v>
      </c>
    </row>
    <row r="7" spans="1:13" s="336" customFormat="1" ht="54" customHeight="1" x14ac:dyDescent="0.25">
      <c r="A7" s="338">
        <v>2</v>
      </c>
      <c r="B7" s="725" t="s">
        <v>156</v>
      </c>
      <c r="C7" s="338" t="s">
        <v>73</v>
      </c>
      <c r="D7" s="339">
        <f>SUM(F7:M7)</f>
        <v>55</v>
      </c>
      <c r="E7" s="339"/>
      <c r="F7" s="339">
        <v>9</v>
      </c>
      <c r="G7" s="339">
        <v>13</v>
      </c>
      <c r="H7" s="339">
        <v>1</v>
      </c>
      <c r="I7" s="339">
        <v>10</v>
      </c>
      <c r="J7" s="339">
        <v>7</v>
      </c>
      <c r="K7" s="339">
        <v>0</v>
      </c>
      <c r="L7" s="339">
        <v>14</v>
      </c>
      <c r="M7" s="339">
        <v>1</v>
      </c>
    </row>
    <row r="8" spans="1:13" s="342" customFormat="1" ht="24.75" customHeight="1" x14ac:dyDescent="0.25">
      <c r="A8" s="340" t="s">
        <v>31</v>
      </c>
      <c r="B8" s="726" t="s">
        <v>79</v>
      </c>
      <c r="C8" s="340"/>
      <c r="D8" s="341">
        <f>SUM(D9:D10)</f>
        <v>1117.5</v>
      </c>
      <c r="E8" s="341">
        <f t="shared" ref="E8:M8" si="0">SUM(E9:E10)</f>
        <v>0</v>
      </c>
      <c r="F8" s="341">
        <f t="shared" si="0"/>
        <v>133.5</v>
      </c>
      <c r="G8" s="341">
        <f t="shared" si="0"/>
        <v>169.5</v>
      </c>
      <c r="H8" s="341">
        <f t="shared" si="0"/>
        <v>136.5</v>
      </c>
      <c r="I8" s="341">
        <f t="shared" si="0"/>
        <v>135</v>
      </c>
      <c r="J8" s="341">
        <f t="shared" si="0"/>
        <v>220.5</v>
      </c>
      <c r="K8" s="341">
        <f t="shared" si="0"/>
        <v>150</v>
      </c>
      <c r="L8" s="341">
        <f t="shared" si="0"/>
        <v>171</v>
      </c>
      <c r="M8" s="341">
        <f t="shared" si="0"/>
        <v>1.5</v>
      </c>
    </row>
    <row r="9" spans="1:13" ht="72" customHeight="1" x14ac:dyDescent="0.25">
      <c r="A9" s="338">
        <v>1</v>
      </c>
      <c r="B9" s="725" t="s">
        <v>155</v>
      </c>
      <c r="C9" s="343">
        <v>15</v>
      </c>
      <c r="D9" s="339">
        <f>SUM(E9:M9)</f>
        <v>1035</v>
      </c>
      <c r="E9" s="339"/>
      <c r="F9" s="344">
        <f>$C9*F6</f>
        <v>120</v>
      </c>
      <c r="G9" s="344">
        <f t="shared" ref="G9:M9" si="1">$C9*G6</f>
        <v>150</v>
      </c>
      <c r="H9" s="344">
        <f t="shared" si="1"/>
        <v>135</v>
      </c>
      <c r="I9" s="344">
        <f t="shared" si="1"/>
        <v>120</v>
      </c>
      <c r="J9" s="344">
        <f t="shared" si="1"/>
        <v>210</v>
      </c>
      <c r="K9" s="344">
        <f t="shared" si="1"/>
        <v>150</v>
      </c>
      <c r="L9" s="344">
        <f t="shared" si="1"/>
        <v>150</v>
      </c>
      <c r="M9" s="344">
        <f t="shared" si="1"/>
        <v>0</v>
      </c>
    </row>
    <row r="10" spans="1:13" ht="57" customHeight="1" x14ac:dyDescent="0.25">
      <c r="A10" s="338">
        <v>2</v>
      </c>
      <c r="B10" s="725" t="s">
        <v>156</v>
      </c>
      <c r="C10" s="346">
        <v>1.5</v>
      </c>
      <c r="D10" s="339">
        <f>SUM(E10:M10)</f>
        <v>82.5</v>
      </c>
      <c r="E10" s="339"/>
      <c r="F10" s="344">
        <f>$C10*F7</f>
        <v>13.5</v>
      </c>
      <c r="G10" s="344">
        <f t="shared" ref="G10:M10" si="2">$C10*G7</f>
        <v>19.5</v>
      </c>
      <c r="H10" s="344">
        <f t="shared" si="2"/>
        <v>1.5</v>
      </c>
      <c r="I10" s="344">
        <f t="shared" si="2"/>
        <v>15</v>
      </c>
      <c r="J10" s="344">
        <f t="shared" si="2"/>
        <v>10.5</v>
      </c>
      <c r="K10" s="344">
        <f t="shared" si="2"/>
        <v>0</v>
      </c>
      <c r="L10" s="344">
        <f t="shared" si="2"/>
        <v>21</v>
      </c>
      <c r="M10" s="344">
        <f t="shared" si="2"/>
        <v>1.5</v>
      </c>
    </row>
    <row r="11" spans="1:13" s="349" customFormat="1" ht="23.25" customHeight="1" x14ac:dyDescent="0.25">
      <c r="A11" s="104" t="s">
        <v>54</v>
      </c>
      <c r="B11" s="727" t="s">
        <v>575</v>
      </c>
      <c r="C11" s="347"/>
      <c r="D11" s="348">
        <v>15231</v>
      </c>
      <c r="E11" s="348">
        <f>E12</f>
        <v>762</v>
      </c>
      <c r="F11" s="348">
        <f t="shared" ref="F11:M11" si="3">F12</f>
        <v>1729</v>
      </c>
      <c r="G11" s="348">
        <f t="shared" si="3"/>
        <v>2195</v>
      </c>
      <c r="H11" s="348">
        <f t="shared" si="3"/>
        <v>1767</v>
      </c>
      <c r="I11" s="348">
        <f t="shared" si="3"/>
        <v>1748</v>
      </c>
      <c r="J11" s="348">
        <f t="shared" si="3"/>
        <v>2855</v>
      </c>
      <c r="K11" s="348">
        <f t="shared" si="3"/>
        <v>1942</v>
      </c>
      <c r="L11" s="348">
        <f t="shared" si="3"/>
        <v>2214</v>
      </c>
      <c r="M11" s="348">
        <f t="shared" si="3"/>
        <v>19</v>
      </c>
    </row>
    <row r="12" spans="1:13" ht="24.75" customHeight="1" x14ac:dyDescent="0.25">
      <c r="A12" s="107">
        <v>1</v>
      </c>
      <c r="B12" s="728" t="s">
        <v>157</v>
      </c>
      <c r="C12" s="338" t="s">
        <v>55</v>
      </c>
      <c r="D12" s="339">
        <f>SUM(E12:M12)</f>
        <v>15231</v>
      </c>
      <c r="E12" s="350">
        <f>ROUND(D11*5%,0)</f>
        <v>762</v>
      </c>
      <c r="F12" s="339">
        <f>ROUND(($D$11-$E$11)/$D$8*F8,0)</f>
        <v>1729</v>
      </c>
      <c r="G12" s="339">
        <f t="shared" ref="G12:M12" si="4">ROUND(($D$11-$E$11)/$D$8*G8,0)</f>
        <v>2195</v>
      </c>
      <c r="H12" s="339">
        <f t="shared" si="4"/>
        <v>1767</v>
      </c>
      <c r="I12" s="339">
        <f t="shared" si="4"/>
        <v>1748</v>
      </c>
      <c r="J12" s="339">
        <f t="shared" si="4"/>
        <v>2855</v>
      </c>
      <c r="K12" s="339">
        <f t="shared" si="4"/>
        <v>1942</v>
      </c>
      <c r="L12" s="339">
        <f t="shared" si="4"/>
        <v>2214</v>
      </c>
      <c r="M12" s="339">
        <f t="shared" si="4"/>
        <v>19</v>
      </c>
    </row>
    <row r="13" spans="1:13" s="349" customFormat="1" ht="38.25" customHeight="1" x14ac:dyDescent="0.25">
      <c r="A13" s="104" t="s">
        <v>56</v>
      </c>
      <c r="B13" s="727" t="s">
        <v>562</v>
      </c>
      <c r="C13" s="338"/>
      <c r="D13" s="351">
        <f>D14</f>
        <v>0</v>
      </c>
      <c r="E13" s="351">
        <f t="shared" ref="E13:M13" si="5">E14</f>
        <v>0</v>
      </c>
      <c r="F13" s="351">
        <f t="shared" si="5"/>
        <v>0</v>
      </c>
      <c r="G13" s="351">
        <f t="shared" si="5"/>
        <v>0</v>
      </c>
      <c r="H13" s="351">
        <f t="shared" si="5"/>
        <v>0</v>
      </c>
      <c r="I13" s="351">
        <f t="shared" si="5"/>
        <v>0</v>
      </c>
      <c r="J13" s="351">
        <f t="shared" si="5"/>
        <v>0</v>
      </c>
      <c r="K13" s="351">
        <f t="shared" si="5"/>
        <v>0</v>
      </c>
      <c r="L13" s="351">
        <f t="shared" si="5"/>
        <v>0</v>
      </c>
      <c r="M13" s="351">
        <f t="shared" si="5"/>
        <v>0</v>
      </c>
    </row>
    <row r="14" spans="1:13" ht="24.75" customHeight="1" x14ac:dyDescent="0.25">
      <c r="A14" s="107">
        <v>1</v>
      </c>
      <c r="B14" s="728" t="s">
        <v>157</v>
      </c>
      <c r="C14" s="338" t="s">
        <v>55</v>
      </c>
      <c r="D14" s="352">
        <f>SUM(E14:M14)</f>
        <v>0</v>
      </c>
      <c r="E14" s="352">
        <v>0</v>
      </c>
      <c r="F14" s="352">
        <v>0</v>
      </c>
      <c r="G14" s="352">
        <v>0</v>
      </c>
      <c r="H14" s="352">
        <v>0</v>
      </c>
      <c r="I14" s="352">
        <v>0</v>
      </c>
      <c r="J14" s="352">
        <v>0</v>
      </c>
      <c r="K14" s="352">
        <v>0</v>
      </c>
      <c r="L14" s="352">
        <v>0</v>
      </c>
      <c r="M14" s="352">
        <v>0</v>
      </c>
    </row>
    <row r="15" spans="1:13" s="349" customFormat="1" ht="24.75" customHeight="1" x14ac:dyDescent="0.25">
      <c r="A15" s="104" t="s">
        <v>57</v>
      </c>
      <c r="B15" s="727" t="s">
        <v>261</v>
      </c>
      <c r="C15" s="338"/>
      <c r="D15" s="348">
        <f>D16</f>
        <v>15231</v>
      </c>
      <c r="E15" s="348">
        <f>E16</f>
        <v>762</v>
      </c>
      <c r="F15" s="348">
        <f t="shared" ref="F15:M15" si="6">F16</f>
        <v>1729</v>
      </c>
      <c r="G15" s="348">
        <f t="shared" si="6"/>
        <v>2195</v>
      </c>
      <c r="H15" s="348">
        <f t="shared" si="6"/>
        <v>1767</v>
      </c>
      <c r="I15" s="348">
        <f t="shared" si="6"/>
        <v>1748</v>
      </c>
      <c r="J15" s="348">
        <f t="shared" si="6"/>
        <v>2855</v>
      </c>
      <c r="K15" s="348">
        <f t="shared" si="6"/>
        <v>1942</v>
      </c>
      <c r="L15" s="348">
        <f t="shared" si="6"/>
        <v>2214</v>
      </c>
      <c r="M15" s="348">
        <f t="shared" si="6"/>
        <v>19</v>
      </c>
    </row>
    <row r="16" spans="1:13" ht="24.75" customHeight="1" x14ac:dyDescent="0.25">
      <c r="A16" s="592">
        <v>1</v>
      </c>
      <c r="B16" s="729" t="s">
        <v>157</v>
      </c>
      <c r="C16" s="593" t="s">
        <v>55</v>
      </c>
      <c r="D16" s="573">
        <f>SUM(E16:M16)</f>
        <v>15231</v>
      </c>
      <c r="E16" s="573">
        <f>E12+E14</f>
        <v>762</v>
      </c>
      <c r="F16" s="573">
        <f t="shared" ref="F16:M16" si="7">F12+F14</f>
        <v>1729</v>
      </c>
      <c r="G16" s="573">
        <f t="shared" si="7"/>
        <v>2195</v>
      </c>
      <c r="H16" s="573">
        <f t="shared" si="7"/>
        <v>1767</v>
      </c>
      <c r="I16" s="573">
        <f t="shared" si="7"/>
        <v>1748</v>
      </c>
      <c r="J16" s="573">
        <f t="shared" si="7"/>
        <v>2855</v>
      </c>
      <c r="K16" s="573">
        <f t="shared" si="7"/>
        <v>1942</v>
      </c>
      <c r="L16" s="573">
        <f t="shared" si="7"/>
        <v>2214</v>
      </c>
      <c r="M16" s="573">
        <f t="shared" si="7"/>
        <v>19</v>
      </c>
    </row>
    <row r="17" spans="1:13" s="349" customFormat="1" ht="36.75" hidden="1" customHeight="1" x14ac:dyDescent="0.25">
      <c r="A17" s="589" t="s">
        <v>478</v>
      </c>
      <c r="B17" s="730" t="s">
        <v>573</v>
      </c>
      <c r="C17" s="590"/>
      <c r="D17" s="591">
        <f>D18</f>
        <v>16376.899606477704</v>
      </c>
      <c r="E17" s="591">
        <f>E18</f>
        <v>818.84498032388524</v>
      </c>
      <c r="F17" s="591">
        <f t="shared" ref="F17" si="8">F18</f>
        <v>1858.6132372183756</v>
      </c>
      <c r="G17" s="591">
        <f t="shared" ref="G17" si="9">G18</f>
        <v>2359.8123124233307</v>
      </c>
      <c r="H17" s="591">
        <f t="shared" ref="H17" si="10">H18</f>
        <v>1900.3798268187884</v>
      </c>
      <c r="I17" s="591">
        <f t="shared" ref="I17" si="11">I18</f>
        <v>1879.4965320185822</v>
      </c>
      <c r="J17" s="591">
        <f t="shared" ref="J17" si="12">J18</f>
        <v>3069.844335630351</v>
      </c>
      <c r="K17" s="591">
        <f t="shared" ref="K17" si="13">K18</f>
        <v>2088.3294800206468</v>
      </c>
      <c r="L17" s="591">
        <f t="shared" ref="L17" si="14">L18</f>
        <v>2380.6956072235371</v>
      </c>
      <c r="M17" s="591">
        <f t="shared" ref="M17" si="15">M18</f>
        <v>20.883294800206468</v>
      </c>
    </row>
    <row r="18" spans="1:13" ht="24.75" hidden="1" customHeight="1" x14ac:dyDescent="0.25">
      <c r="A18" s="485">
        <v>1</v>
      </c>
      <c r="B18" s="731" t="s">
        <v>157</v>
      </c>
      <c r="C18" s="481" t="s">
        <v>55</v>
      </c>
      <c r="D18" s="448">
        <f>SUM(E18:M18)</f>
        <v>16376.899606477704</v>
      </c>
      <c r="E18" s="448">
        <v>818.84498032388524</v>
      </c>
      <c r="F18" s="448">
        <v>1858.6132372183756</v>
      </c>
      <c r="G18" s="448">
        <v>2359.8123124233307</v>
      </c>
      <c r="H18" s="448">
        <v>1900.3798268187884</v>
      </c>
      <c r="I18" s="448">
        <v>1879.4965320185822</v>
      </c>
      <c r="J18" s="448">
        <v>3069.844335630351</v>
      </c>
      <c r="K18" s="448">
        <v>2088.3294800206468</v>
      </c>
      <c r="L18" s="448">
        <v>2380.6956072235371</v>
      </c>
      <c r="M18" s="448">
        <v>20.883294800206468</v>
      </c>
    </row>
    <row r="19" spans="1:13" s="349" customFormat="1" ht="36.75" hidden="1" customHeight="1" x14ac:dyDescent="0.25">
      <c r="A19" s="480" t="s">
        <v>497</v>
      </c>
      <c r="B19" s="732" t="s">
        <v>571</v>
      </c>
      <c r="C19" s="481"/>
      <c r="D19" s="482">
        <f>D20</f>
        <v>-1145.8996064777034</v>
      </c>
      <c r="E19" s="482">
        <f>E20</f>
        <v>-56.844980323885238</v>
      </c>
      <c r="F19" s="482">
        <f t="shared" ref="F19" si="16">F20</f>
        <v>-129.61323721837562</v>
      </c>
      <c r="G19" s="482">
        <f t="shared" ref="G19" si="17">G20</f>
        <v>-164.8123124233307</v>
      </c>
      <c r="H19" s="482">
        <f t="shared" ref="H19" si="18">H20</f>
        <v>-133.37982681878839</v>
      </c>
      <c r="I19" s="482">
        <f t="shared" ref="I19" si="19">I20</f>
        <v>-131.49653201858223</v>
      </c>
      <c r="J19" s="482">
        <f t="shared" ref="J19" si="20">J20</f>
        <v>-214.844335630351</v>
      </c>
      <c r="K19" s="482">
        <f t="shared" ref="K19" si="21">K20</f>
        <v>-146.32948002064677</v>
      </c>
      <c r="L19" s="482">
        <f t="shared" ref="L19" si="22">L20</f>
        <v>-166.69560722353708</v>
      </c>
      <c r="M19" s="482">
        <f t="shared" ref="M19" si="23">M20</f>
        <v>-1.8832948002064676</v>
      </c>
    </row>
    <row r="20" spans="1:13" ht="24.75" hidden="1" customHeight="1" x14ac:dyDescent="0.25">
      <c r="A20" s="483">
        <v>1</v>
      </c>
      <c r="B20" s="733" t="s">
        <v>157</v>
      </c>
      <c r="C20" s="484" t="s">
        <v>55</v>
      </c>
      <c r="D20" s="450">
        <f>SUM(E20:M20)</f>
        <v>-1145.8996064777034</v>
      </c>
      <c r="E20" s="450">
        <f>E16-E18</f>
        <v>-56.844980323885238</v>
      </c>
      <c r="F20" s="450">
        <f t="shared" ref="F20:M20" si="24">F16-F18</f>
        <v>-129.61323721837562</v>
      </c>
      <c r="G20" s="450">
        <f t="shared" si="24"/>
        <v>-164.8123124233307</v>
      </c>
      <c r="H20" s="450">
        <f t="shared" si="24"/>
        <v>-133.37982681878839</v>
      </c>
      <c r="I20" s="450">
        <f t="shared" si="24"/>
        <v>-131.49653201858223</v>
      </c>
      <c r="J20" s="450">
        <f t="shared" si="24"/>
        <v>-214.844335630351</v>
      </c>
      <c r="K20" s="450">
        <f t="shared" si="24"/>
        <v>-146.32948002064677</v>
      </c>
      <c r="L20" s="450">
        <f t="shared" si="24"/>
        <v>-166.69560722353708</v>
      </c>
      <c r="M20" s="450">
        <f t="shared" si="24"/>
        <v>-1.8832948002064676</v>
      </c>
    </row>
  </sheetData>
  <mergeCells count="3">
    <mergeCell ref="A2:M2"/>
    <mergeCell ref="A3:M3"/>
    <mergeCell ref="J1:M1"/>
  </mergeCells>
  <pageMargins left="0.59055118110236227" right="0.39370078740157483" top="5.9055118110236227E-2" bottom="0.39370078740157483" header="0.31496062992125984" footer="0.31496062992125984"/>
  <pageSetup paperSize="9" scale="79" firstPageNumber="174" fitToHeight="0" orientation="landscape" useFirstPageNumber="1" r:id="rId1"/>
  <headerFooter>
    <oddHeader>&amp;C&amp;P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X43"/>
  <sheetViews>
    <sheetView view="pageLayout" topLeftCell="A21" zoomScale="70" zoomScaleNormal="89" zoomScalePageLayoutView="70" workbookViewId="0">
      <selection activeCell="A38" sqref="A38:XFD38"/>
    </sheetView>
  </sheetViews>
  <sheetFormatPr defaultColWidth="7.75" defaultRowHeight="15.75" x14ac:dyDescent="0.25"/>
  <cols>
    <col min="1" max="1" width="6.75" style="60" customWidth="1"/>
    <col min="2" max="2" width="59.125" style="744" customWidth="1"/>
    <col min="3" max="3" width="11.125" style="60" customWidth="1"/>
    <col min="4" max="4" width="12.25" style="20" bestFit="1" customWidth="1"/>
    <col min="5" max="7" width="12.375" style="20" customWidth="1"/>
    <col min="8" max="14" width="11.625" style="20" customWidth="1"/>
    <col min="15" max="16384" width="7.75" style="20"/>
  </cols>
  <sheetData>
    <row r="1" spans="1:258" s="27" customFormat="1" ht="29.25" customHeight="1" x14ac:dyDescent="0.25">
      <c r="A1" s="23"/>
      <c r="B1" s="722"/>
      <c r="C1" s="26"/>
      <c r="D1" s="26"/>
      <c r="E1" s="95"/>
      <c r="F1" s="95"/>
      <c r="G1" s="26"/>
      <c r="H1" s="26"/>
      <c r="K1" s="831" t="s">
        <v>619</v>
      </c>
      <c r="L1" s="831"/>
      <c r="M1" s="831"/>
      <c r="N1" s="831"/>
      <c r="O1" s="23"/>
      <c r="P1" s="23"/>
    </row>
    <row r="2" spans="1:258" s="27" customFormat="1" ht="33" customHeight="1" x14ac:dyDescent="0.25">
      <c r="A2" s="796" t="s">
        <v>116</v>
      </c>
      <c r="B2" s="796"/>
      <c r="C2" s="796"/>
      <c r="D2" s="796"/>
      <c r="E2" s="796"/>
      <c r="F2" s="796"/>
      <c r="G2" s="796"/>
      <c r="H2" s="796"/>
      <c r="I2" s="796"/>
      <c r="J2" s="796"/>
      <c r="K2" s="796"/>
      <c r="L2" s="796"/>
      <c r="M2" s="796"/>
      <c r="N2" s="796"/>
      <c r="O2" s="58"/>
      <c r="P2" s="58"/>
    </row>
    <row r="3" spans="1:258" s="27" customFormat="1" ht="31.5" customHeight="1" x14ac:dyDescent="0.25">
      <c r="A3" s="825" t="str">
        <f>'B9-TDA3,DA5'!A3:M3</f>
        <v>(Kèm theo Báo cáo số:          /BC-UBND ngày          tháng 11 năm 2023 của UBND tỉnh)</v>
      </c>
      <c r="B3" s="825"/>
      <c r="C3" s="825"/>
      <c r="D3" s="825"/>
      <c r="E3" s="825"/>
      <c r="F3" s="825"/>
      <c r="G3" s="825"/>
      <c r="H3" s="825"/>
      <c r="I3" s="825"/>
      <c r="J3" s="825"/>
      <c r="K3" s="825"/>
      <c r="L3" s="825"/>
      <c r="M3" s="825"/>
      <c r="N3" s="825"/>
      <c r="O3" s="796"/>
      <c r="P3" s="796"/>
      <c r="Q3" s="796"/>
      <c r="R3" s="796"/>
      <c r="S3" s="796"/>
      <c r="T3" s="796"/>
      <c r="U3" s="796"/>
      <c r="V3" s="796"/>
      <c r="W3" s="796"/>
      <c r="X3" s="796"/>
      <c r="Y3" s="796"/>
      <c r="Z3" s="796"/>
      <c r="AA3" s="796"/>
      <c r="AB3" s="796"/>
      <c r="AC3" s="796"/>
      <c r="AD3" s="796"/>
      <c r="AE3" s="796"/>
      <c r="AF3" s="796"/>
      <c r="AG3" s="796"/>
      <c r="AH3" s="796"/>
      <c r="AI3" s="796"/>
      <c r="AJ3" s="796"/>
      <c r="AK3" s="796"/>
      <c r="AL3" s="796"/>
      <c r="AM3" s="796"/>
      <c r="AN3" s="796"/>
      <c r="AO3" s="796"/>
      <c r="AP3" s="796"/>
      <c r="AQ3" s="796"/>
      <c r="AR3" s="796"/>
      <c r="AS3" s="796"/>
      <c r="AT3" s="796"/>
      <c r="AU3" s="796"/>
      <c r="AV3" s="796"/>
      <c r="AW3" s="796"/>
      <c r="AX3" s="796"/>
      <c r="AY3" s="796"/>
      <c r="AZ3" s="796"/>
      <c r="BA3" s="796"/>
      <c r="BB3" s="796"/>
      <c r="BC3" s="796"/>
      <c r="BD3" s="796"/>
      <c r="BE3" s="796"/>
      <c r="BF3" s="796"/>
      <c r="BG3" s="796"/>
      <c r="BH3" s="796"/>
      <c r="BI3" s="796"/>
      <c r="BJ3" s="796"/>
      <c r="BK3" s="796"/>
      <c r="BL3" s="796"/>
      <c r="BM3" s="796"/>
      <c r="BN3" s="796"/>
      <c r="BO3" s="796"/>
      <c r="BP3" s="796"/>
      <c r="BQ3" s="796"/>
      <c r="BR3" s="796"/>
      <c r="BS3" s="796"/>
      <c r="BT3" s="796"/>
      <c r="BU3" s="796"/>
      <c r="BV3" s="796"/>
      <c r="BW3" s="796"/>
      <c r="BX3" s="796"/>
      <c r="BY3" s="796"/>
      <c r="BZ3" s="796"/>
      <c r="CA3" s="796"/>
      <c r="CB3" s="796"/>
      <c r="CC3" s="796"/>
      <c r="CD3" s="796"/>
      <c r="CE3" s="796"/>
      <c r="CF3" s="796"/>
      <c r="CG3" s="796"/>
      <c r="CH3" s="796"/>
      <c r="CI3" s="796"/>
      <c r="CJ3" s="796"/>
      <c r="CK3" s="796"/>
      <c r="CL3" s="796"/>
      <c r="CM3" s="796"/>
      <c r="CN3" s="796"/>
      <c r="CO3" s="796"/>
      <c r="CP3" s="796"/>
      <c r="CQ3" s="796"/>
      <c r="CR3" s="796"/>
      <c r="CS3" s="796"/>
      <c r="CT3" s="796"/>
      <c r="CU3" s="796"/>
      <c r="CV3" s="796"/>
      <c r="CW3" s="796"/>
      <c r="CX3" s="796"/>
      <c r="CY3" s="796"/>
      <c r="CZ3" s="796"/>
      <c r="DA3" s="796"/>
      <c r="DB3" s="796"/>
      <c r="DC3" s="796"/>
      <c r="DD3" s="796"/>
      <c r="DE3" s="796"/>
      <c r="DF3" s="796"/>
      <c r="DG3" s="796"/>
      <c r="DH3" s="796"/>
      <c r="DI3" s="796"/>
      <c r="DJ3" s="796"/>
      <c r="DK3" s="796"/>
      <c r="DL3" s="796"/>
      <c r="DM3" s="796"/>
      <c r="DN3" s="796"/>
      <c r="DO3" s="796"/>
      <c r="DP3" s="796"/>
      <c r="DQ3" s="796"/>
      <c r="DR3" s="796"/>
      <c r="DS3" s="796"/>
      <c r="DT3" s="796"/>
      <c r="DU3" s="796"/>
      <c r="DV3" s="796"/>
      <c r="DW3" s="796"/>
      <c r="DX3" s="796"/>
      <c r="DY3" s="796"/>
      <c r="DZ3" s="796"/>
      <c r="EA3" s="796"/>
      <c r="EB3" s="796"/>
      <c r="EC3" s="796"/>
      <c r="ED3" s="796"/>
      <c r="EE3" s="796"/>
      <c r="EF3" s="796"/>
      <c r="EG3" s="796"/>
      <c r="EH3" s="796"/>
      <c r="EI3" s="796"/>
      <c r="EJ3" s="796"/>
      <c r="EK3" s="796"/>
      <c r="EL3" s="796"/>
      <c r="EM3" s="796"/>
      <c r="EN3" s="796"/>
      <c r="EO3" s="796"/>
      <c r="EP3" s="796"/>
      <c r="EQ3" s="796"/>
      <c r="ER3" s="796"/>
      <c r="ES3" s="796"/>
      <c r="ET3" s="796"/>
      <c r="EU3" s="796"/>
      <c r="EV3" s="796"/>
      <c r="EW3" s="796"/>
      <c r="EX3" s="796"/>
      <c r="EY3" s="796"/>
      <c r="EZ3" s="796"/>
      <c r="FA3" s="796"/>
      <c r="FB3" s="796"/>
      <c r="FC3" s="796"/>
      <c r="FD3" s="796"/>
      <c r="FE3" s="796"/>
      <c r="FF3" s="796"/>
      <c r="FG3" s="796"/>
      <c r="FH3" s="796"/>
      <c r="FI3" s="796"/>
      <c r="FJ3" s="796"/>
      <c r="FK3" s="796"/>
      <c r="FL3" s="796"/>
      <c r="FM3" s="796"/>
      <c r="FN3" s="796"/>
      <c r="FO3" s="796"/>
      <c r="FP3" s="796"/>
      <c r="FQ3" s="796"/>
      <c r="FR3" s="796"/>
      <c r="FS3" s="796"/>
      <c r="FT3" s="796"/>
      <c r="FU3" s="796"/>
      <c r="FV3" s="796"/>
      <c r="FW3" s="796"/>
      <c r="FX3" s="796"/>
      <c r="FY3" s="796"/>
      <c r="FZ3" s="796"/>
      <c r="GA3" s="796"/>
      <c r="GB3" s="796"/>
      <c r="GC3" s="796"/>
      <c r="GD3" s="796"/>
      <c r="GE3" s="796"/>
      <c r="GF3" s="796"/>
      <c r="GG3" s="796"/>
      <c r="GH3" s="796"/>
      <c r="GI3" s="796"/>
      <c r="GJ3" s="796"/>
      <c r="GK3" s="796"/>
      <c r="GL3" s="796"/>
      <c r="GM3" s="796"/>
      <c r="GN3" s="796"/>
      <c r="GO3" s="796"/>
      <c r="GP3" s="796"/>
      <c r="GQ3" s="796"/>
      <c r="GR3" s="796"/>
      <c r="GS3" s="796"/>
      <c r="GT3" s="796"/>
      <c r="GU3" s="796"/>
      <c r="GV3" s="796"/>
      <c r="GW3" s="796"/>
      <c r="GX3" s="796"/>
      <c r="GY3" s="796"/>
      <c r="GZ3" s="796"/>
      <c r="HA3" s="796"/>
      <c r="HB3" s="796"/>
      <c r="HC3" s="796"/>
      <c r="HD3" s="796"/>
      <c r="HE3" s="796"/>
      <c r="HF3" s="796"/>
      <c r="HG3" s="796"/>
      <c r="HH3" s="796"/>
      <c r="HI3" s="796"/>
      <c r="HJ3" s="796"/>
      <c r="HK3" s="796"/>
      <c r="HL3" s="796"/>
      <c r="HM3" s="796"/>
      <c r="HN3" s="796"/>
      <c r="HO3" s="796"/>
      <c r="HP3" s="796"/>
      <c r="HQ3" s="796"/>
      <c r="HR3" s="796"/>
      <c r="HS3" s="796"/>
      <c r="HT3" s="796"/>
      <c r="HU3" s="796"/>
      <c r="HV3" s="796"/>
      <c r="HW3" s="796"/>
      <c r="HX3" s="796"/>
      <c r="HY3" s="796"/>
      <c r="HZ3" s="796"/>
      <c r="IA3" s="796"/>
      <c r="IB3" s="796"/>
      <c r="IC3" s="796"/>
      <c r="ID3" s="796"/>
      <c r="IE3" s="796"/>
      <c r="IF3" s="796"/>
      <c r="IG3" s="796"/>
      <c r="IH3" s="796"/>
      <c r="II3" s="796"/>
      <c r="IJ3" s="796"/>
      <c r="IK3" s="796"/>
      <c r="IL3" s="796"/>
      <c r="IM3" s="796"/>
      <c r="IN3" s="796"/>
      <c r="IO3" s="796"/>
      <c r="IP3" s="796"/>
      <c r="IQ3" s="796"/>
      <c r="IR3" s="796"/>
      <c r="IS3" s="796"/>
      <c r="IT3" s="796"/>
      <c r="IU3" s="796"/>
      <c r="IV3" s="796"/>
      <c r="IW3" s="796"/>
      <c r="IX3" s="796"/>
    </row>
    <row r="4" spans="1:258" s="59" customFormat="1" ht="87" customHeight="1" x14ac:dyDescent="0.25">
      <c r="A4" s="11" t="s">
        <v>1</v>
      </c>
      <c r="B4" s="735" t="s">
        <v>35</v>
      </c>
      <c r="C4" s="11" t="s">
        <v>36</v>
      </c>
      <c r="D4" s="11" t="s">
        <v>37</v>
      </c>
      <c r="E4" s="11" t="s">
        <v>162</v>
      </c>
      <c r="F4" s="11" t="s">
        <v>563</v>
      </c>
      <c r="G4" s="11" t="s">
        <v>38</v>
      </c>
      <c r="H4" s="11" t="s">
        <v>39</v>
      </c>
      <c r="I4" s="11" t="s">
        <v>40</v>
      </c>
      <c r="J4" s="11" t="s">
        <v>41</v>
      </c>
      <c r="K4" s="11" t="s">
        <v>42</v>
      </c>
      <c r="L4" s="11" t="s">
        <v>43</v>
      </c>
      <c r="M4" s="11" t="s">
        <v>44</v>
      </c>
      <c r="N4" s="11" t="s">
        <v>45</v>
      </c>
    </row>
    <row r="5" spans="1:258" s="59" customFormat="1" ht="24" customHeight="1" x14ac:dyDescent="0.25">
      <c r="A5" s="102" t="s">
        <v>4</v>
      </c>
      <c r="B5" s="736" t="s">
        <v>47</v>
      </c>
      <c r="C5" s="102"/>
      <c r="D5" s="102"/>
      <c r="E5" s="102"/>
      <c r="F5" s="102"/>
      <c r="G5" s="102"/>
      <c r="H5" s="102"/>
      <c r="I5" s="102"/>
      <c r="J5" s="102"/>
      <c r="K5" s="102"/>
      <c r="L5" s="102"/>
      <c r="M5" s="102"/>
      <c r="N5" s="102"/>
    </row>
    <row r="6" spans="1:258" s="61" customFormat="1" ht="24" customHeight="1" x14ac:dyDescent="0.25">
      <c r="A6" s="104" t="s">
        <v>46</v>
      </c>
      <c r="B6" s="737" t="s">
        <v>97</v>
      </c>
      <c r="C6" s="183"/>
      <c r="D6" s="183"/>
      <c r="E6" s="183"/>
      <c r="F6" s="183"/>
      <c r="G6" s="183"/>
      <c r="H6" s="183"/>
      <c r="I6" s="183"/>
      <c r="J6" s="183"/>
      <c r="K6" s="183"/>
      <c r="L6" s="183"/>
      <c r="M6" s="183"/>
      <c r="N6" s="183"/>
    </row>
    <row r="7" spans="1:258" s="61" customFormat="1" ht="58.5" customHeight="1" x14ac:dyDescent="0.25">
      <c r="A7" s="107">
        <v>1</v>
      </c>
      <c r="B7" s="738" t="s">
        <v>98</v>
      </c>
      <c r="C7" s="107" t="s">
        <v>99</v>
      </c>
      <c r="D7" s="184">
        <f>SUM(F7:N7)</f>
        <v>10</v>
      </c>
      <c r="E7" s="184"/>
      <c r="F7" s="184"/>
      <c r="G7" s="184">
        <v>1</v>
      </c>
      <c r="H7" s="185">
        <v>1</v>
      </c>
      <c r="I7" s="184">
        <v>0</v>
      </c>
      <c r="J7" s="184">
        <v>2</v>
      </c>
      <c r="K7" s="184">
        <v>4</v>
      </c>
      <c r="L7" s="184">
        <v>1</v>
      </c>
      <c r="M7" s="184">
        <v>1</v>
      </c>
      <c r="N7" s="184">
        <v>0</v>
      </c>
    </row>
    <row r="8" spans="1:258" s="61" customFormat="1" ht="24" customHeight="1" x14ac:dyDescent="0.25">
      <c r="A8" s="107">
        <v>2</v>
      </c>
      <c r="B8" s="738" t="s">
        <v>100</v>
      </c>
      <c r="C8" s="107" t="s">
        <v>101</v>
      </c>
      <c r="D8" s="184">
        <f t="shared" ref="D8:D9" si="0">SUM(F8:N8)</f>
        <v>8</v>
      </c>
      <c r="E8" s="184"/>
      <c r="F8" s="184"/>
      <c r="G8" s="184">
        <v>1</v>
      </c>
      <c r="H8" s="184">
        <v>1</v>
      </c>
      <c r="I8" s="184">
        <v>1</v>
      </c>
      <c r="J8" s="184">
        <v>1</v>
      </c>
      <c r="K8" s="184">
        <v>1</v>
      </c>
      <c r="L8" s="184">
        <v>1</v>
      </c>
      <c r="M8" s="184">
        <v>1</v>
      </c>
      <c r="N8" s="184">
        <v>1</v>
      </c>
    </row>
    <row r="9" spans="1:258" s="61" customFormat="1" ht="39.75" customHeight="1" x14ac:dyDescent="0.25">
      <c r="A9" s="107">
        <v>3</v>
      </c>
      <c r="B9" s="738" t="s">
        <v>102</v>
      </c>
      <c r="C9" s="107" t="s">
        <v>103</v>
      </c>
      <c r="D9" s="184">
        <f t="shared" si="0"/>
        <v>560</v>
      </c>
      <c r="E9" s="184"/>
      <c r="F9" s="184"/>
      <c r="G9" s="184">
        <v>69</v>
      </c>
      <c r="H9" s="184">
        <v>75</v>
      </c>
      <c r="I9" s="184">
        <v>90</v>
      </c>
      <c r="J9" s="184">
        <v>68</v>
      </c>
      <c r="K9" s="184">
        <v>85</v>
      </c>
      <c r="L9" s="184">
        <v>82</v>
      </c>
      <c r="M9" s="184">
        <v>90</v>
      </c>
      <c r="N9" s="184">
        <v>1</v>
      </c>
    </row>
    <row r="10" spans="1:258" s="61" customFormat="1" ht="24" customHeight="1" x14ac:dyDescent="0.25">
      <c r="A10" s="104" t="s">
        <v>31</v>
      </c>
      <c r="B10" s="737" t="s">
        <v>104</v>
      </c>
      <c r="C10" s="104"/>
      <c r="D10" s="184"/>
      <c r="E10" s="184"/>
      <c r="F10" s="184"/>
      <c r="G10" s="184"/>
      <c r="H10" s="184"/>
      <c r="I10" s="184"/>
      <c r="J10" s="184"/>
      <c r="K10" s="184"/>
      <c r="L10" s="184"/>
      <c r="M10" s="184"/>
      <c r="N10" s="184"/>
    </row>
    <row r="11" spans="1:258" s="61" customFormat="1" ht="39.75" customHeight="1" x14ac:dyDescent="0.25">
      <c r="A11" s="107">
        <v>4</v>
      </c>
      <c r="B11" s="738" t="s">
        <v>105</v>
      </c>
      <c r="C11" s="107" t="s">
        <v>84</v>
      </c>
      <c r="D11" s="184">
        <f>SUM(F11:N11)</f>
        <v>51</v>
      </c>
      <c r="E11" s="184"/>
      <c r="F11" s="184">
        <v>51</v>
      </c>
      <c r="G11" s="184"/>
      <c r="H11" s="184"/>
      <c r="I11" s="184"/>
      <c r="J11" s="184"/>
      <c r="K11" s="184"/>
      <c r="L11" s="184"/>
      <c r="M11" s="184"/>
      <c r="N11" s="184"/>
    </row>
    <row r="12" spans="1:258" s="61" customFormat="1" ht="24" customHeight="1" x14ac:dyDescent="0.25">
      <c r="A12" s="107">
        <v>5</v>
      </c>
      <c r="B12" s="738" t="s">
        <v>106</v>
      </c>
      <c r="C12" s="107" t="s">
        <v>107</v>
      </c>
      <c r="D12" s="184">
        <f t="shared" ref="D12:D18" si="1">SUM(F12:N12)</f>
        <v>108</v>
      </c>
      <c r="E12" s="184"/>
      <c r="F12" s="184">
        <v>108</v>
      </c>
      <c r="G12" s="184"/>
      <c r="H12" s="184"/>
      <c r="I12" s="184"/>
      <c r="J12" s="184"/>
      <c r="K12" s="184"/>
      <c r="L12" s="184"/>
      <c r="M12" s="184"/>
      <c r="N12" s="184"/>
    </row>
    <row r="13" spans="1:258" s="61" customFormat="1" ht="39.75" customHeight="1" x14ac:dyDescent="0.25">
      <c r="A13" s="107">
        <v>6</v>
      </c>
      <c r="B13" s="738" t="s">
        <v>108</v>
      </c>
      <c r="C13" s="107" t="s">
        <v>109</v>
      </c>
      <c r="D13" s="184">
        <f t="shared" si="1"/>
        <v>3</v>
      </c>
      <c r="E13" s="184"/>
      <c r="F13" s="184">
        <v>3</v>
      </c>
      <c r="G13" s="184"/>
      <c r="H13" s="184"/>
      <c r="I13" s="184"/>
      <c r="J13" s="184"/>
      <c r="K13" s="184"/>
      <c r="L13" s="184"/>
      <c r="M13" s="184"/>
      <c r="N13" s="184"/>
    </row>
    <row r="14" spans="1:258" s="61" customFormat="1" ht="39.75" customHeight="1" x14ac:dyDescent="0.25">
      <c r="A14" s="107">
        <v>7</v>
      </c>
      <c r="B14" s="738" t="s">
        <v>110</v>
      </c>
      <c r="C14" s="107" t="s">
        <v>70</v>
      </c>
      <c r="D14" s="184">
        <f t="shared" si="1"/>
        <v>108</v>
      </c>
      <c r="E14" s="184"/>
      <c r="F14" s="184">
        <v>108</v>
      </c>
      <c r="G14" s="184"/>
      <c r="H14" s="184"/>
      <c r="I14" s="184"/>
      <c r="J14" s="184"/>
      <c r="K14" s="184"/>
      <c r="L14" s="184"/>
      <c r="M14" s="184"/>
      <c r="N14" s="184"/>
    </row>
    <row r="15" spans="1:258" s="61" customFormat="1" ht="39.75" customHeight="1" x14ac:dyDescent="0.25">
      <c r="A15" s="107">
        <v>8</v>
      </c>
      <c r="B15" s="738" t="s">
        <v>161</v>
      </c>
      <c r="C15" s="107" t="s">
        <v>109</v>
      </c>
      <c r="D15" s="184">
        <f t="shared" si="1"/>
        <v>2</v>
      </c>
      <c r="E15" s="184"/>
      <c r="F15" s="184">
        <v>2</v>
      </c>
      <c r="G15" s="184"/>
      <c r="H15" s="185"/>
      <c r="I15" s="184"/>
      <c r="J15" s="184"/>
      <c r="K15" s="184"/>
      <c r="L15" s="184"/>
      <c r="M15" s="184"/>
      <c r="N15" s="184"/>
    </row>
    <row r="16" spans="1:258" s="61" customFormat="1" ht="72.75" customHeight="1" x14ac:dyDescent="0.25">
      <c r="A16" s="107">
        <v>9</v>
      </c>
      <c r="B16" s="738" t="s">
        <v>160</v>
      </c>
      <c r="C16" s="107" t="s">
        <v>112</v>
      </c>
      <c r="D16" s="184">
        <f t="shared" si="1"/>
        <v>12</v>
      </c>
      <c r="E16" s="184"/>
      <c r="F16" s="184">
        <v>12</v>
      </c>
      <c r="G16" s="184"/>
      <c r="H16" s="185"/>
      <c r="I16" s="184"/>
      <c r="J16" s="184"/>
      <c r="K16" s="184"/>
      <c r="L16" s="184"/>
      <c r="M16" s="184"/>
      <c r="N16" s="184"/>
    </row>
    <row r="17" spans="1:14" s="61" customFormat="1" ht="39.75" customHeight="1" x14ac:dyDescent="0.25">
      <c r="A17" s="107">
        <v>10</v>
      </c>
      <c r="B17" s="738" t="s">
        <v>113</v>
      </c>
      <c r="C17" s="107" t="s">
        <v>85</v>
      </c>
      <c r="D17" s="184">
        <f t="shared" si="1"/>
        <v>2</v>
      </c>
      <c r="E17" s="184"/>
      <c r="F17" s="184">
        <v>2</v>
      </c>
      <c r="G17" s="184"/>
      <c r="H17" s="184"/>
      <c r="I17" s="184"/>
      <c r="J17" s="184"/>
      <c r="K17" s="184"/>
      <c r="L17" s="184"/>
      <c r="M17" s="184"/>
      <c r="N17" s="184"/>
    </row>
    <row r="18" spans="1:14" s="61" customFormat="1" ht="39.75" customHeight="1" x14ac:dyDescent="0.25">
      <c r="A18" s="107">
        <v>11</v>
      </c>
      <c r="B18" s="738" t="s">
        <v>114</v>
      </c>
      <c r="C18" s="107" t="s">
        <v>115</v>
      </c>
      <c r="D18" s="184">
        <f t="shared" si="1"/>
        <v>4</v>
      </c>
      <c r="E18" s="184"/>
      <c r="F18" s="184">
        <v>4</v>
      </c>
      <c r="G18" s="184"/>
      <c r="H18" s="184"/>
      <c r="I18" s="184"/>
      <c r="J18" s="184"/>
      <c r="K18" s="184"/>
      <c r="L18" s="184"/>
      <c r="M18" s="184"/>
      <c r="N18" s="184"/>
    </row>
    <row r="19" spans="1:14" s="61" customFormat="1" ht="24" customHeight="1" x14ac:dyDescent="0.25">
      <c r="A19" s="104" t="s">
        <v>5</v>
      </c>
      <c r="B19" s="737" t="s">
        <v>79</v>
      </c>
      <c r="C19" s="104"/>
      <c r="D19" s="186">
        <f>D20+D24</f>
        <v>538.4</v>
      </c>
      <c r="E19" s="186"/>
      <c r="F19" s="186">
        <f t="shared" ref="F19:N19" si="2">F20+F24</f>
        <v>340.4</v>
      </c>
      <c r="G19" s="186">
        <f t="shared" si="2"/>
        <v>24.3</v>
      </c>
      <c r="H19" s="186">
        <f t="shared" si="2"/>
        <v>26.1</v>
      </c>
      <c r="I19" s="186">
        <f t="shared" si="2"/>
        <v>30</v>
      </c>
      <c r="J19" s="186">
        <f t="shared" si="2"/>
        <v>24.599999999999998</v>
      </c>
      <c r="K19" s="186">
        <f t="shared" si="2"/>
        <v>30.9</v>
      </c>
      <c r="L19" s="186">
        <f t="shared" si="2"/>
        <v>28.2</v>
      </c>
      <c r="M19" s="186">
        <f t="shared" si="2"/>
        <v>30.6</v>
      </c>
      <c r="N19" s="186">
        <f t="shared" si="2"/>
        <v>3.3</v>
      </c>
    </row>
    <row r="20" spans="1:14" s="61" customFormat="1" ht="24" customHeight="1" x14ac:dyDescent="0.25">
      <c r="A20" s="104" t="s">
        <v>46</v>
      </c>
      <c r="B20" s="737" t="s">
        <v>97</v>
      </c>
      <c r="C20" s="104"/>
      <c r="D20" s="183">
        <f>SUM(D21:D23)</f>
        <v>198</v>
      </c>
      <c r="E20" s="183"/>
      <c r="F20" s="183"/>
      <c r="G20" s="183">
        <f t="shared" ref="G20:N20" si="3">SUM(G21:G23)</f>
        <v>24.3</v>
      </c>
      <c r="H20" s="183">
        <f t="shared" si="3"/>
        <v>26.1</v>
      </c>
      <c r="I20" s="183">
        <f t="shared" si="3"/>
        <v>30</v>
      </c>
      <c r="J20" s="183">
        <f t="shared" si="3"/>
        <v>24.599999999999998</v>
      </c>
      <c r="K20" s="183">
        <f t="shared" si="3"/>
        <v>30.9</v>
      </c>
      <c r="L20" s="183">
        <f t="shared" si="3"/>
        <v>28.2</v>
      </c>
      <c r="M20" s="183">
        <f t="shared" si="3"/>
        <v>30.6</v>
      </c>
      <c r="N20" s="183">
        <f t="shared" si="3"/>
        <v>3.3</v>
      </c>
    </row>
    <row r="21" spans="1:14" ht="58.5" customHeight="1" x14ac:dyDescent="0.25">
      <c r="A21" s="107">
        <v>1</v>
      </c>
      <c r="B21" s="738" t="s">
        <v>98</v>
      </c>
      <c r="C21" s="107">
        <v>0.6</v>
      </c>
      <c r="D21" s="184">
        <f>SUM(F21:N21)</f>
        <v>5.9999999999999991</v>
      </c>
      <c r="E21" s="184"/>
      <c r="F21" s="184"/>
      <c r="G21" s="184">
        <f>$C21*G7</f>
        <v>0.6</v>
      </c>
      <c r="H21" s="184">
        <f t="shared" ref="H21:N21" si="4">$C21*H7</f>
        <v>0.6</v>
      </c>
      <c r="I21" s="184">
        <f t="shared" si="4"/>
        <v>0</v>
      </c>
      <c r="J21" s="184">
        <f t="shared" si="4"/>
        <v>1.2</v>
      </c>
      <c r="K21" s="184">
        <f t="shared" si="4"/>
        <v>2.4</v>
      </c>
      <c r="L21" s="184">
        <f t="shared" si="4"/>
        <v>0.6</v>
      </c>
      <c r="M21" s="184">
        <f t="shared" si="4"/>
        <v>0.6</v>
      </c>
      <c r="N21" s="184">
        <f t="shared" si="4"/>
        <v>0</v>
      </c>
    </row>
    <row r="22" spans="1:14" ht="24" customHeight="1" x14ac:dyDescent="0.25">
      <c r="A22" s="107">
        <v>2</v>
      </c>
      <c r="B22" s="738" t="s">
        <v>100</v>
      </c>
      <c r="C22" s="107">
        <v>3</v>
      </c>
      <c r="D22" s="184">
        <f t="shared" ref="D22:D23" si="5">SUM(F22:N22)</f>
        <v>24</v>
      </c>
      <c r="E22" s="184"/>
      <c r="F22" s="184"/>
      <c r="G22" s="184">
        <f t="shared" ref="G22:N23" si="6">$C22*G8</f>
        <v>3</v>
      </c>
      <c r="H22" s="184">
        <f t="shared" si="6"/>
        <v>3</v>
      </c>
      <c r="I22" s="184">
        <f t="shared" si="6"/>
        <v>3</v>
      </c>
      <c r="J22" s="184">
        <f t="shared" si="6"/>
        <v>3</v>
      </c>
      <c r="K22" s="184">
        <f t="shared" si="6"/>
        <v>3</v>
      </c>
      <c r="L22" s="184">
        <f t="shared" si="6"/>
        <v>3</v>
      </c>
      <c r="M22" s="184">
        <f t="shared" si="6"/>
        <v>3</v>
      </c>
      <c r="N22" s="184">
        <f t="shared" si="6"/>
        <v>3</v>
      </c>
    </row>
    <row r="23" spans="1:14" ht="39.75" customHeight="1" x14ac:dyDescent="0.25">
      <c r="A23" s="107">
        <v>3</v>
      </c>
      <c r="B23" s="738" t="s">
        <v>102</v>
      </c>
      <c r="C23" s="107">
        <v>0.3</v>
      </c>
      <c r="D23" s="184">
        <f t="shared" si="5"/>
        <v>168</v>
      </c>
      <c r="E23" s="184"/>
      <c r="F23" s="184"/>
      <c r="G23" s="184">
        <f t="shared" si="6"/>
        <v>20.7</v>
      </c>
      <c r="H23" s="184">
        <f t="shared" si="6"/>
        <v>22.5</v>
      </c>
      <c r="I23" s="184">
        <f t="shared" si="6"/>
        <v>27</v>
      </c>
      <c r="J23" s="184">
        <f t="shared" si="6"/>
        <v>20.399999999999999</v>
      </c>
      <c r="K23" s="184">
        <f t="shared" si="6"/>
        <v>25.5</v>
      </c>
      <c r="L23" s="184">
        <f t="shared" si="6"/>
        <v>24.599999999999998</v>
      </c>
      <c r="M23" s="184">
        <f t="shared" si="6"/>
        <v>27</v>
      </c>
      <c r="N23" s="184">
        <f t="shared" si="6"/>
        <v>0.3</v>
      </c>
    </row>
    <row r="24" spans="1:14" s="61" customFormat="1" ht="24" customHeight="1" x14ac:dyDescent="0.25">
      <c r="A24" s="104" t="s">
        <v>31</v>
      </c>
      <c r="B24" s="737" t="s">
        <v>104</v>
      </c>
      <c r="C24" s="104"/>
      <c r="D24" s="186">
        <f>SUM(D25:D32)</f>
        <v>340.4</v>
      </c>
      <c r="E24" s="186"/>
      <c r="F24" s="186">
        <f t="shared" ref="F24" si="7">SUM(F25:F32)</f>
        <v>340.4</v>
      </c>
      <c r="G24" s="183"/>
      <c r="H24" s="183"/>
      <c r="I24" s="183"/>
      <c r="J24" s="183"/>
      <c r="K24" s="183"/>
      <c r="L24" s="183"/>
      <c r="M24" s="183"/>
      <c r="N24" s="183"/>
    </row>
    <row r="25" spans="1:14" ht="39.75" customHeight="1" x14ac:dyDescent="0.25">
      <c r="A25" s="107">
        <v>4</v>
      </c>
      <c r="B25" s="738" t="s">
        <v>105</v>
      </c>
      <c r="C25" s="107">
        <v>2</v>
      </c>
      <c r="D25" s="187">
        <f>F25</f>
        <v>102</v>
      </c>
      <c r="E25" s="184"/>
      <c r="F25" s="184">
        <f>$C25*F11</f>
        <v>102</v>
      </c>
      <c r="G25" s="184"/>
      <c r="H25" s="184"/>
      <c r="I25" s="184"/>
      <c r="J25" s="184"/>
      <c r="K25" s="184"/>
      <c r="L25" s="184"/>
      <c r="M25" s="184"/>
      <c r="N25" s="184"/>
    </row>
    <row r="26" spans="1:14" ht="24" customHeight="1" x14ac:dyDescent="0.25">
      <c r="A26" s="107">
        <v>5</v>
      </c>
      <c r="B26" s="738" t="s">
        <v>106</v>
      </c>
      <c r="C26" s="107">
        <v>0.5</v>
      </c>
      <c r="D26" s="187">
        <f t="shared" ref="D26:D32" si="8">F26</f>
        <v>54</v>
      </c>
      <c r="E26" s="184"/>
      <c r="F26" s="184">
        <f t="shared" ref="F26:F32" si="9">$C26*F12</f>
        <v>54</v>
      </c>
      <c r="G26" s="184"/>
      <c r="H26" s="184"/>
      <c r="I26" s="184"/>
      <c r="J26" s="184"/>
      <c r="K26" s="184"/>
      <c r="L26" s="184"/>
      <c r="M26" s="184"/>
      <c r="N26" s="184"/>
    </row>
    <row r="27" spans="1:14" ht="39.75" customHeight="1" x14ac:dyDescent="0.25">
      <c r="A27" s="107">
        <v>6</v>
      </c>
      <c r="B27" s="738" t="s">
        <v>108</v>
      </c>
      <c r="C27" s="107">
        <v>10</v>
      </c>
      <c r="D27" s="187">
        <f t="shared" si="8"/>
        <v>30</v>
      </c>
      <c r="E27" s="184"/>
      <c r="F27" s="184">
        <f t="shared" si="9"/>
        <v>30</v>
      </c>
      <c r="G27" s="184"/>
      <c r="H27" s="184"/>
      <c r="I27" s="184"/>
      <c r="J27" s="184"/>
      <c r="K27" s="184"/>
      <c r="L27" s="184"/>
      <c r="M27" s="184"/>
      <c r="N27" s="184"/>
    </row>
    <row r="28" spans="1:14" ht="39.75" customHeight="1" x14ac:dyDescent="0.25">
      <c r="A28" s="107">
        <v>7</v>
      </c>
      <c r="B28" s="738" t="s">
        <v>110</v>
      </c>
      <c r="C28" s="107">
        <v>0.3</v>
      </c>
      <c r="D28" s="187">
        <f t="shared" si="8"/>
        <v>32.4</v>
      </c>
      <c r="E28" s="184"/>
      <c r="F28" s="184">
        <f t="shared" si="9"/>
        <v>32.4</v>
      </c>
      <c r="G28" s="184"/>
      <c r="H28" s="184"/>
      <c r="I28" s="184"/>
      <c r="J28" s="184"/>
      <c r="K28" s="184"/>
      <c r="L28" s="184"/>
      <c r="M28" s="184"/>
      <c r="N28" s="184"/>
    </row>
    <row r="29" spans="1:14" ht="39.75" customHeight="1" x14ac:dyDescent="0.25">
      <c r="A29" s="107">
        <v>8</v>
      </c>
      <c r="B29" s="738" t="s">
        <v>161</v>
      </c>
      <c r="C29" s="107">
        <v>10</v>
      </c>
      <c r="D29" s="187">
        <f t="shared" si="8"/>
        <v>20</v>
      </c>
      <c r="E29" s="184"/>
      <c r="F29" s="184">
        <f t="shared" si="9"/>
        <v>20</v>
      </c>
      <c r="G29" s="184"/>
      <c r="H29" s="184"/>
      <c r="I29" s="184"/>
      <c r="J29" s="184"/>
      <c r="K29" s="184"/>
      <c r="L29" s="184"/>
      <c r="M29" s="184"/>
      <c r="N29" s="184"/>
    </row>
    <row r="30" spans="1:14" ht="82.5" customHeight="1" x14ac:dyDescent="0.25">
      <c r="A30" s="107">
        <v>9</v>
      </c>
      <c r="B30" s="738" t="s">
        <v>111</v>
      </c>
      <c r="C30" s="107">
        <v>3.5</v>
      </c>
      <c r="D30" s="187">
        <f t="shared" si="8"/>
        <v>42</v>
      </c>
      <c r="E30" s="184"/>
      <c r="F30" s="184">
        <f t="shared" si="9"/>
        <v>42</v>
      </c>
      <c r="G30" s="184"/>
      <c r="H30" s="184"/>
      <c r="I30" s="184"/>
      <c r="J30" s="184"/>
      <c r="K30" s="184"/>
      <c r="L30" s="184"/>
      <c r="M30" s="184"/>
      <c r="N30" s="184"/>
    </row>
    <row r="31" spans="1:14" ht="39.75" customHeight="1" x14ac:dyDescent="0.25">
      <c r="A31" s="107">
        <v>10</v>
      </c>
      <c r="B31" s="738" t="s">
        <v>113</v>
      </c>
      <c r="C31" s="107">
        <v>20</v>
      </c>
      <c r="D31" s="187">
        <f t="shared" si="8"/>
        <v>40</v>
      </c>
      <c r="E31" s="184"/>
      <c r="F31" s="184">
        <f t="shared" si="9"/>
        <v>40</v>
      </c>
      <c r="G31" s="184"/>
      <c r="H31" s="184"/>
      <c r="I31" s="184"/>
      <c r="J31" s="184"/>
      <c r="K31" s="184"/>
      <c r="L31" s="184"/>
      <c r="M31" s="184"/>
      <c r="N31" s="184"/>
    </row>
    <row r="32" spans="1:14" ht="39.75" customHeight="1" x14ac:dyDescent="0.25">
      <c r="A32" s="107">
        <v>11</v>
      </c>
      <c r="B32" s="738" t="s">
        <v>114</v>
      </c>
      <c r="C32" s="107">
        <v>5</v>
      </c>
      <c r="D32" s="187">
        <f t="shared" si="8"/>
        <v>20</v>
      </c>
      <c r="E32" s="184"/>
      <c r="F32" s="184">
        <f t="shared" si="9"/>
        <v>20</v>
      </c>
      <c r="G32" s="184"/>
      <c r="H32" s="184"/>
      <c r="I32" s="184"/>
      <c r="J32" s="184"/>
      <c r="K32" s="184"/>
      <c r="L32" s="184"/>
      <c r="M32" s="184"/>
      <c r="N32" s="184"/>
    </row>
    <row r="33" spans="1:14" s="61" customFormat="1" ht="24" customHeight="1" x14ac:dyDescent="0.25">
      <c r="A33" s="188" t="s">
        <v>54</v>
      </c>
      <c r="B33" s="737" t="s">
        <v>576</v>
      </c>
      <c r="C33" s="104"/>
      <c r="D33" s="190">
        <v>11235</v>
      </c>
      <c r="E33" s="190">
        <f>E34</f>
        <v>2247</v>
      </c>
      <c r="F33" s="190">
        <f t="shared" ref="F33:N33" si="10">F34</f>
        <v>5681</v>
      </c>
      <c r="G33" s="190">
        <f t="shared" si="10"/>
        <v>406</v>
      </c>
      <c r="H33" s="190">
        <f t="shared" si="10"/>
        <v>436</v>
      </c>
      <c r="I33" s="190">
        <f t="shared" si="10"/>
        <v>501</v>
      </c>
      <c r="J33" s="190">
        <f t="shared" si="10"/>
        <v>411</v>
      </c>
      <c r="K33" s="190">
        <f t="shared" si="10"/>
        <v>516</v>
      </c>
      <c r="L33" s="190">
        <f t="shared" si="10"/>
        <v>471</v>
      </c>
      <c r="M33" s="190">
        <f t="shared" si="10"/>
        <v>511</v>
      </c>
      <c r="N33" s="190">
        <f t="shared" si="10"/>
        <v>55</v>
      </c>
    </row>
    <row r="34" spans="1:14" ht="24" customHeight="1" x14ac:dyDescent="0.25">
      <c r="A34" s="189">
        <v>1</v>
      </c>
      <c r="B34" s="738" t="s">
        <v>159</v>
      </c>
      <c r="C34" s="107" t="s">
        <v>55</v>
      </c>
      <c r="D34" s="191">
        <f>SUM(E34:N34)</f>
        <v>11235</v>
      </c>
      <c r="E34" s="191">
        <f>ROUND(D33*20%,0)</f>
        <v>2247</v>
      </c>
      <c r="F34" s="191">
        <f>ROUND(($D$33-$E$34)/$D$19*F19,0)-2</f>
        <v>5681</v>
      </c>
      <c r="G34" s="191">
        <f t="shared" ref="G34:N34" si="11">ROUND(($D$33-$E$34)/$D$19*G19,0)</f>
        <v>406</v>
      </c>
      <c r="H34" s="191">
        <f t="shared" si="11"/>
        <v>436</v>
      </c>
      <c r="I34" s="191">
        <f>ROUND(($D$33-$E$34)/$D$19*I19,0)</f>
        <v>501</v>
      </c>
      <c r="J34" s="191">
        <f t="shared" si="11"/>
        <v>411</v>
      </c>
      <c r="K34" s="191">
        <f t="shared" si="11"/>
        <v>516</v>
      </c>
      <c r="L34" s="191">
        <f t="shared" si="11"/>
        <v>471</v>
      </c>
      <c r="M34" s="191">
        <f t="shared" si="11"/>
        <v>511</v>
      </c>
      <c r="N34" s="191">
        <f t="shared" si="11"/>
        <v>55</v>
      </c>
    </row>
    <row r="35" spans="1:14" s="61" customFormat="1" ht="23.25" customHeight="1" x14ac:dyDescent="0.25">
      <c r="A35" s="188" t="s">
        <v>56</v>
      </c>
      <c r="B35" s="737" t="s">
        <v>260</v>
      </c>
      <c r="C35" s="104"/>
      <c r="D35" s="190">
        <f>D36</f>
        <v>563</v>
      </c>
      <c r="E35" s="190">
        <f>E36</f>
        <v>112</v>
      </c>
      <c r="F35" s="190">
        <f t="shared" ref="F35:N35" si="12">F36</f>
        <v>284</v>
      </c>
      <c r="G35" s="190">
        <f t="shared" si="12"/>
        <v>20</v>
      </c>
      <c r="H35" s="190">
        <f t="shared" si="12"/>
        <v>22</v>
      </c>
      <c r="I35" s="190">
        <f t="shared" si="12"/>
        <v>25</v>
      </c>
      <c r="J35" s="190">
        <f t="shared" si="12"/>
        <v>21</v>
      </c>
      <c r="K35" s="190">
        <f t="shared" si="12"/>
        <v>26</v>
      </c>
      <c r="L35" s="190">
        <f t="shared" si="12"/>
        <v>24</v>
      </c>
      <c r="M35" s="190">
        <f t="shared" si="12"/>
        <v>26</v>
      </c>
      <c r="N35" s="190">
        <f t="shared" si="12"/>
        <v>3</v>
      </c>
    </row>
    <row r="36" spans="1:14" ht="24" customHeight="1" x14ac:dyDescent="0.25">
      <c r="A36" s="189">
        <v>1</v>
      </c>
      <c r="B36" s="738" t="s">
        <v>159</v>
      </c>
      <c r="C36" s="107" t="s">
        <v>55</v>
      </c>
      <c r="D36" s="191">
        <f>SUM(E36:N36)</f>
        <v>563</v>
      </c>
      <c r="E36" s="191">
        <f>ROUND(E34*5%,0)</f>
        <v>112</v>
      </c>
      <c r="F36" s="191">
        <f t="shared" ref="F36:N36" si="13">ROUND(F34*5%,0)</f>
        <v>284</v>
      </c>
      <c r="G36" s="191">
        <f t="shared" si="13"/>
        <v>20</v>
      </c>
      <c r="H36" s="191">
        <f t="shared" si="13"/>
        <v>22</v>
      </c>
      <c r="I36" s="191">
        <f t="shared" si="13"/>
        <v>25</v>
      </c>
      <c r="J36" s="191">
        <f t="shared" si="13"/>
        <v>21</v>
      </c>
      <c r="K36" s="191">
        <f t="shared" si="13"/>
        <v>26</v>
      </c>
      <c r="L36" s="191">
        <f t="shared" si="13"/>
        <v>24</v>
      </c>
      <c r="M36" s="191">
        <f t="shared" si="13"/>
        <v>26</v>
      </c>
      <c r="N36" s="191">
        <f t="shared" si="13"/>
        <v>3</v>
      </c>
    </row>
    <row r="37" spans="1:14" s="61" customFormat="1" ht="24" customHeight="1" x14ac:dyDescent="0.25">
      <c r="A37" s="188" t="s">
        <v>57</v>
      </c>
      <c r="B37" s="737" t="s">
        <v>261</v>
      </c>
      <c r="C37" s="104"/>
      <c r="D37" s="190">
        <f>D38</f>
        <v>11798</v>
      </c>
      <c r="E37" s="190">
        <f>E38</f>
        <v>2359</v>
      </c>
      <c r="F37" s="190">
        <f t="shared" ref="F37:N37" si="14">F38</f>
        <v>5965</v>
      </c>
      <c r="G37" s="190">
        <f t="shared" si="14"/>
        <v>426</v>
      </c>
      <c r="H37" s="190">
        <f t="shared" si="14"/>
        <v>458</v>
      </c>
      <c r="I37" s="190">
        <f t="shared" si="14"/>
        <v>526</v>
      </c>
      <c r="J37" s="190">
        <f t="shared" si="14"/>
        <v>432</v>
      </c>
      <c r="K37" s="190">
        <f t="shared" si="14"/>
        <v>542</v>
      </c>
      <c r="L37" s="190">
        <f t="shared" si="14"/>
        <v>495</v>
      </c>
      <c r="M37" s="190">
        <f t="shared" si="14"/>
        <v>537</v>
      </c>
      <c r="N37" s="190">
        <f t="shared" si="14"/>
        <v>58</v>
      </c>
    </row>
    <row r="38" spans="1:14" ht="24" customHeight="1" x14ac:dyDescent="0.25">
      <c r="A38" s="597">
        <v>1</v>
      </c>
      <c r="B38" s="739" t="s">
        <v>159</v>
      </c>
      <c r="C38" s="592" t="s">
        <v>55</v>
      </c>
      <c r="D38" s="598">
        <f>SUM(E38:N38)</f>
        <v>11798</v>
      </c>
      <c r="E38" s="598">
        <f>E34+E36</f>
        <v>2359</v>
      </c>
      <c r="F38" s="598">
        <f t="shared" ref="F38:N38" si="15">F34+F36</f>
        <v>5965</v>
      </c>
      <c r="G38" s="598">
        <f t="shared" si="15"/>
        <v>426</v>
      </c>
      <c r="H38" s="598">
        <f t="shared" si="15"/>
        <v>458</v>
      </c>
      <c r="I38" s="598">
        <f t="shared" si="15"/>
        <v>526</v>
      </c>
      <c r="J38" s="598">
        <f t="shared" si="15"/>
        <v>432</v>
      </c>
      <c r="K38" s="598">
        <f t="shared" si="15"/>
        <v>542</v>
      </c>
      <c r="L38" s="598">
        <f t="shared" si="15"/>
        <v>495</v>
      </c>
      <c r="M38" s="598">
        <f t="shared" si="15"/>
        <v>537</v>
      </c>
      <c r="N38" s="598">
        <f t="shared" si="15"/>
        <v>58</v>
      </c>
    </row>
    <row r="39" spans="1:14" s="61" customFormat="1" ht="24" hidden="1" customHeight="1" x14ac:dyDescent="0.25">
      <c r="A39" s="595" t="s">
        <v>478</v>
      </c>
      <c r="B39" s="740" t="s">
        <v>573</v>
      </c>
      <c r="C39" s="589"/>
      <c r="D39" s="596">
        <f>D40</f>
        <v>12684.274862629889</v>
      </c>
      <c r="E39" s="596">
        <f>E40</f>
        <v>7909.5858458984858</v>
      </c>
      <c r="F39" s="596">
        <f t="shared" ref="F39" si="16">F40</f>
        <v>0</v>
      </c>
      <c r="G39" s="596">
        <f t="shared" ref="G39" si="17">G40</f>
        <v>585.9845611443086</v>
      </c>
      <c r="H39" s="596">
        <f t="shared" ref="H39" si="18">H40</f>
        <v>629.3908249327759</v>
      </c>
      <c r="I39" s="596">
        <f t="shared" ref="I39" si="19">I40</f>
        <v>723.43772980778829</v>
      </c>
      <c r="J39" s="596">
        <f t="shared" ref="J39" si="20">J40</f>
        <v>593.21893844238639</v>
      </c>
      <c r="K39" s="596">
        <f t="shared" ref="K39" si="21">K40</f>
        <v>745.14086170202199</v>
      </c>
      <c r="L39" s="596">
        <f t="shared" ref="L39" si="22">L40</f>
        <v>680.03146601932099</v>
      </c>
      <c r="M39" s="596">
        <f t="shared" ref="M39" si="23">M40</f>
        <v>737.90648440394409</v>
      </c>
      <c r="N39" s="596">
        <f t="shared" ref="N39" si="24">N40</f>
        <v>79.578150278856711</v>
      </c>
    </row>
    <row r="40" spans="1:14" ht="24" hidden="1" customHeight="1" x14ac:dyDescent="0.25">
      <c r="A40" s="488">
        <v>1</v>
      </c>
      <c r="B40" s="741" t="s">
        <v>159</v>
      </c>
      <c r="C40" s="485" t="s">
        <v>55</v>
      </c>
      <c r="D40" s="452">
        <f>SUM(E40:N40)</f>
        <v>12684.274862629889</v>
      </c>
      <c r="E40" s="452">
        <v>7909.5858458984858</v>
      </c>
      <c r="F40" s="452"/>
      <c r="G40" s="452">
        <v>585.9845611443086</v>
      </c>
      <c r="H40" s="452">
        <v>629.3908249327759</v>
      </c>
      <c r="I40" s="452">
        <v>723.43772980778829</v>
      </c>
      <c r="J40" s="452">
        <v>593.21893844238639</v>
      </c>
      <c r="K40" s="452">
        <v>745.14086170202199</v>
      </c>
      <c r="L40" s="452">
        <v>680.03146601932099</v>
      </c>
      <c r="M40" s="452">
        <v>737.90648440394409</v>
      </c>
      <c r="N40" s="452">
        <v>79.578150278856711</v>
      </c>
    </row>
    <row r="41" spans="1:14" s="61" customFormat="1" ht="24" hidden="1" customHeight="1" x14ac:dyDescent="0.25">
      <c r="A41" s="486" t="s">
        <v>497</v>
      </c>
      <c r="B41" s="742" t="s">
        <v>571</v>
      </c>
      <c r="C41" s="480"/>
      <c r="D41" s="451">
        <f>D42</f>
        <v>-886.27486262988873</v>
      </c>
      <c r="E41" s="451">
        <f>E42</f>
        <v>-5550.5858458984858</v>
      </c>
      <c r="F41" s="451">
        <f t="shared" ref="F41" si="25">F42</f>
        <v>5965</v>
      </c>
      <c r="G41" s="451">
        <f t="shared" ref="G41" si="26">G42</f>
        <v>-159.9845611443086</v>
      </c>
      <c r="H41" s="451">
        <f t="shared" ref="H41" si="27">H42</f>
        <v>-171.3908249327759</v>
      </c>
      <c r="I41" s="451">
        <f t="shared" ref="I41" si="28">I42</f>
        <v>-197.43772980778829</v>
      </c>
      <c r="J41" s="451">
        <f t="shared" ref="J41" si="29">J42</f>
        <v>-161.21893844238639</v>
      </c>
      <c r="K41" s="451">
        <f t="shared" ref="K41" si="30">K42</f>
        <v>-203.14086170202199</v>
      </c>
      <c r="L41" s="451">
        <f t="shared" ref="L41" si="31">L42</f>
        <v>-185.03146601932099</v>
      </c>
      <c r="M41" s="451">
        <f t="shared" ref="M41" si="32">M42</f>
        <v>-200.90648440394409</v>
      </c>
      <c r="N41" s="451">
        <f t="shared" ref="N41" si="33">N42</f>
        <v>-21.578150278856711</v>
      </c>
    </row>
    <row r="42" spans="1:14" ht="24" hidden="1" customHeight="1" x14ac:dyDescent="0.25">
      <c r="A42" s="487">
        <v>1</v>
      </c>
      <c r="B42" s="743" t="s">
        <v>159</v>
      </c>
      <c r="C42" s="483" t="s">
        <v>55</v>
      </c>
      <c r="D42" s="453">
        <f>SUM(E42:N42)</f>
        <v>-886.27486262988873</v>
      </c>
      <c r="E42" s="453">
        <f>E38-E40</f>
        <v>-5550.5858458984858</v>
      </c>
      <c r="F42" s="453">
        <f t="shared" ref="F42:N42" si="34">F38-F40</f>
        <v>5965</v>
      </c>
      <c r="G42" s="453">
        <f t="shared" si="34"/>
        <v>-159.9845611443086</v>
      </c>
      <c r="H42" s="453">
        <f t="shared" si="34"/>
        <v>-171.3908249327759</v>
      </c>
      <c r="I42" s="453">
        <f t="shared" si="34"/>
        <v>-197.43772980778829</v>
      </c>
      <c r="J42" s="453">
        <f t="shared" si="34"/>
        <v>-161.21893844238639</v>
      </c>
      <c r="K42" s="453">
        <f t="shared" si="34"/>
        <v>-203.14086170202199</v>
      </c>
      <c r="L42" s="453">
        <f t="shared" si="34"/>
        <v>-185.03146601932099</v>
      </c>
      <c r="M42" s="453">
        <f t="shared" si="34"/>
        <v>-200.90648440394409</v>
      </c>
      <c r="N42" s="453">
        <f t="shared" si="34"/>
        <v>-21.578150278856711</v>
      </c>
    </row>
    <row r="43" spans="1:14" x14ac:dyDescent="0.25">
      <c r="D43" s="77"/>
    </row>
  </sheetData>
  <mergeCells count="24">
    <mergeCell ref="CU3:DF3"/>
    <mergeCell ref="DG3:DR3"/>
    <mergeCell ref="EQ3:FB3"/>
    <mergeCell ref="AM3:AX3"/>
    <mergeCell ref="A2:N2"/>
    <mergeCell ref="A3:N3"/>
    <mergeCell ref="O3:Z3"/>
    <mergeCell ref="AA3:AL3"/>
    <mergeCell ref="K1:N1"/>
    <mergeCell ref="II3:IT3"/>
    <mergeCell ref="IU3:IX3"/>
    <mergeCell ref="FO3:FZ3"/>
    <mergeCell ref="GA3:GL3"/>
    <mergeCell ref="GM3:GX3"/>
    <mergeCell ref="GY3:HJ3"/>
    <mergeCell ref="HK3:HV3"/>
    <mergeCell ref="HW3:IH3"/>
    <mergeCell ref="FC3:FN3"/>
    <mergeCell ref="DS3:ED3"/>
    <mergeCell ref="EE3:EP3"/>
    <mergeCell ref="AY3:BJ3"/>
    <mergeCell ref="BK3:BV3"/>
    <mergeCell ref="BW3:CH3"/>
    <mergeCell ref="CI3:CT3"/>
  </mergeCells>
  <pageMargins left="0.59055118110236227" right="0.39370078740157483" top="0.59055118110236227" bottom="0.39370078740157483" header="0.31496062992125984" footer="0.23622047244094491"/>
  <pageSetup paperSize="9" scale="60" firstPageNumber="175" fitToHeight="0" orientation="landscape" useFirstPageNumber="1" r:id="rId1"/>
  <headerFooter>
    <oddHeader>&amp;C&amp;P</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K10"/>
  <sheetViews>
    <sheetView view="pageLayout" zoomScaleNormal="85" workbookViewId="0">
      <selection activeCell="A3" sqref="A3:G3"/>
    </sheetView>
  </sheetViews>
  <sheetFormatPr defaultColWidth="7.75" defaultRowHeight="15.75" x14ac:dyDescent="0.25"/>
  <cols>
    <col min="1" max="1" width="6.75" style="57" customWidth="1"/>
    <col min="2" max="2" width="33.5" style="57" customWidth="1"/>
    <col min="3" max="3" width="11.5" style="57" customWidth="1"/>
    <col min="4" max="4" width="12.625" style="57" customWidth="1"/>
    <col min="5" max="5" width="16.75" style="57" customWidth="1"/>
    <col min="6" max="6" width="13.75" style="57" customWidth="1"/>
    <col min="7" max="7" width="14.75" style="57" customWidth="1"/>
    <col min="8" max="8" width="11" style="57" customWidth="1"/>
    <col min="9" max="9" width="11" style="63" customWidth="1"/>
    <col min="10" max="11" width="11" style="64" customWidth="1"/>
    <col min="12" max="12" width="11" style="57" customWidth="1"/>
    <col min="13" max="13" width="11.125" style="57" bestFit="1" customWidth="1"/>
    <col min="14" max="16384" width="7.75" style="57"/>
  </cols>
  <sheetData>
    <row r="1" spans="1:245" s="27" customFormat="1" ht="29.25" customHeight="1" x14ac:dyDescent="0.25">
      <c r="A1" s="23"/>
      <c r="B1" s="23"/>
      <c r="C1" s="26"/>
      <c r="D1" s="26"/>
      <c r="E1" s="831" t="s">
        <v>620</v>
      </c>
      <c r="F1" s="831"/>
      <c r="G1" s="831"/>
      <c r="H1" s="23"/>
      <c r="J1" s="23"/>
      <c r="K1" s="23"/>
      <c r="L1" s="23"/>
      <c r="M1" s="23"/>
    </row>
    <row r="2" spans="1:245" s="14" customFormat="1" ht="44.25" customHeight="1" x14ac:dyDescent="0.25">
      <c r="A2" s="835" t="s">
        <v>163</v>
      </c>
      <c r="B2" s="835"/>
      <c r="C2" s="835"/>
      <c r="D2" s="835"/>
      <c r="E2" s="835"/>
      <c r="F2" s="835"/>
      <c r="G2" s="835"/>
      <c r="H2" s="193"/>
      <c r="I2" s="193"/>
      <c r="J2" s="193"/>
      <c r="K2" s="193"/>
      <c r="L2" s="193"/>
    </row>
    <row r="3" spans="1:245" s="14" customFormat="1" ht="40.5" customHeight="1" x14ac:dyDescent="0.25">
      <c r="A3" s="836" t="str">
        <f>'B11-DA6'!A3:N3</f>
        <v>(Kèm theo Báo cáo số:          /BC-UBND ngày          tháng 11 năm 2023 của UBND tỉnh)</v>
      </c>
      <c r="B3" s="836"/>
      <c r="C3" s="836"/>
      <c r="D3" s="836"/>
      <c r="E3" s="836"/>
      <c r="F3" s="836"/>
      <c r="G3" s="836"/>
      <c r="H3" s="194"/>
      <c r="I3" s="194"/>
      <c r="J3" s="194"/>
      <c r="K3" s="194"/>
      <c r="L3" s="194"/>
    </row>
    <row r="4" spans="1:245" s="27" customFormat="1" ht="27.75" customHeight="1" x14ac:dyDescent="0.25">
      <c r="A4" s="837" t="s">
        <v>1</v>
      </c>
      <c r="B4" s="837" t="s">
        <v>35</v>
      </c>
      <c r="C4" s="838" t="s">
        <v>37</v>
      </c>
      <c r="D4" s="837" t="s">
        <v>577</v>
      </c>
      <c r="E4" s="837"/>
      <c r="F4" s="837" t="s">
        <v>145</v>
      </c>
      <c r="G4" s="837"/>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4"/>
      <c r="AY4" s="94"/>
      <c r="AZ4" s="94"/>
      <c r="BA4" s="94"/>
      <c r="BB4" s="94"/>
      <c r="BC4" s="94"/>
      <c r="BD4" s="94"/>
      <c r="BE4" s="94"/>
      <c r="BF4" s="94"/>
      <c r="BG4" s="94"/>
      <c r="BH4" s="94"/>
      <c r="BI4" s="94"/>
      <c r="BJ4" s="94"/>
      <c r="BK4" s="94"/>
      <c r="BL4" s="94"/>
      <c r="BM4" s="94"/>
      <c r="BN4" s="94"/>
      <c r="BO4" s="94"/>
      <c r="BP4" s="94"/>
      <c r="BQ4" s="94"/>
      <c r="BR4" s="94"/>
      <c r="BS4" s="94"/>
      <c r="BT4" s="94"/>
      <c r="BU4" s="94"/>
      <c r="BV4" s="94"/>
      <c r="BW4" s="94"/>
      <c r="BX4" s="94"/>
      <c r="BY4" s="94"/>
      <c r="BZ4" s="94"/>
      <c r="CA4" s="94"/>
      <c r="CB4" s="94"/>
      <c r="CC4" s="94"/>
      <c r="CD4" s="94"/>
      <c r="CE4" s="94"/>
      <c r="CF4" s="94"/>
      <c r="CG4" s="94"/>
      <c r="CH4" s="94"/>
      <c r="CI4" s="94"/>
      <c r="CJ4" s="94"/>
      <c r="CK4" s="94"/>
      <c r="CL4" s="94"/>
      <c r="CM4" s="94"/>
      <c r="CN4" s="94"/>
      <c r="CO4" s="94"/>
      <c r="CP4" s="94"/>
      <c r="CQ4" s="94"/>
      <c r="CR4" s="94"/>
      <c r="CS4" s="94"/>
      <c r="CT4" s="94"/>
      <c r="CU4" s="94"/>
      <c r="CV4" s="94"/>
      <c r="CW4" s="94"/>
      <c r="CX4" s="94"/>
      <c r="CY4" s="94"/>
      <c r="CZ4" s="94"/>
      <c r="DA4" s="94"/>
      <c r="DB4" s="94"/>
      <c r="DC4" s="94"/>
      <c r="DD4" s="94"/>
      <c r="DE4" s="94"/>
      <c r="DF4" s="94"/>
      <c r="DG4" s="94"/>
      <c r="DH4" s="94"/>
      <c r="DI4" s="94"/>
      <c r="DJ4" s="94"/>
      <c r="DK4" s="94"/>
      <c r="DL4" s="94"/>
      <c r="DM4" s="94"/>
      <c r="DN4" s="94"/>
      <c r="DO4" s="94"/>
      <c r="DP4" s="94"/>
      <c r="DQ4" s="94"/>
      <c r="DR4" s="94"/>
      <c r="DS4" s="94"/>
      <c r="DT4" s="94"/>
      <c r="DU4" s="94"/>
      <c r="DV4" s="94"/>
      <c r="DW4" s="94"/>
      <c r="DX4" s="94"/>
      <c r="DY4" s="94"/>
      <c r="DZ4" s="94"/>
      <c r="EA4" s="94"/>
      <c r="EB4" s="94"/>
      <c r="EC4" s="94"/>
      <c r="ED4" s="94"/>
      <c r="EE4" s="94"/>
      <c r="EF4" s="94"/>
      <c r="EG4" s="94"/>
      <c r="EH4" s="94"/>
      <c r="EI4" s="94"/>
      <c r="EJ4" s="94"/>
      <c r="EK4" s="94"/>
      <c r="EL4" s="94"/>
      <c r="EM4" s="94"/>
      <c r="EN4" s="94"/>
      <c r="EO4" s="94"/>
      <c r="EP4" s="94"/>
      <c r="EQ4" s="94"/>
      <c r="ER4" s="94"/>
      <c r="ES4" s="94"/>
      <c r="ET4" s="94"/>
      <c r="EU4" s="94"/>
      <c r="EV4" s="94"/>
      <c r="EW4" s="94"/>
      <c r="EX4" s="94"/>
      <c r="EY4" s="94"/>
      <c r="EZ4" s="94"/>
      <c r="FA4" s="94"/>
      <c r="FB4" s="94"/>
      <c r="FC4" s="94"/>
      <c r="FD4" s="94"/>
      <c r="FE4" s="94"/>
      <c r="FF4" s="94"/>
      <c r="FG4" s="94"/>
      <c r="FH4" s="94"/>
      <c r="FI4" s="94"/>
      <c r="FJ4" s="94"/>
      <c r="FK4" s="94"/>
      <c r="FL4" s="94"/>
      <c r="FM4" s="94"/>
      <c r="FN4" s="94"/>
      <c r="FO4" s="94"/>
      <c r="FP4" s="94"/>
      <c r="FQ4" s="94"/>
      <c r="FR4" s="94"/>
      <c r="FS4" s="94"/>
      <c r="FT4" s="94"/>
      <c r="FU4" s="94"/>
      <c r="FV4" s="94"/>
      <c r="FW4" s="94"/>
      <c r="FX4" s="94"/>
      <c r="FY4" s="94"/>
      <c r="FZ4" s="94"/>
      <c r="GA4" s="94"/>
      <c r="GB4" s="94"/>
      <c r="GC4" s="94"/>
      <c r="GD4" s="94"/>
      <c r="GE4" s="94"/>
      <c r="GF4" s="94"/>
      <c r="GG4" s="94"/>
      <c r="GH4" s="94"/>
      <c r="GI4" s="94"/>
      <c r="GJ4" s="94"/>
      <c r="GK4" s="94"/>
      <c r="GL4" s="94"/>
      <c r="GM4" s="94"/>
      <c r="GN4" s="94"/>
      <c r="GO4" s="94"/>
      <c r="GP4" s="94"/>
      <c r="GQ4" s="94"/>
      <c r="GR4" s="94"/>
      <c r="GS4" s="94"/>
      <c r="GT4" s="94"/>
      <c r="GU4" s="94"/>
      <c r="GV4" s="94"/>
      <c r="GW4" s="94"/>
      <c r="GX4" s="94"/>
      <c r="GY4" s="94"/>
      <c r="GZ4" s="94"/>
      <c r="HA4" s="94"/>
      <c r="HB4" s="94"/>
      <c r="HC4" s="94"/>
      <c r="HD4" s="94"/>
      <c r="HE4" s="94"/>
      <c r="HF4" s="94"/>
      <c r="HG4" s="94"/>
      <c r="HH4" s="94"/>
      <c r="HI4" s="94"/>
      <c r="HJ4" s="94"/>
      <c r="HK4" s="94"/>
      <c r="HL4" s="94"/>
      <c r="HM4" s="94"/>
      <c r="HN4" s="94"/>
      <c r="HO4" s="94"/>
      <c r="HP4" s="94"/>
      <c r="HQ4" s="94"/>
      <c r="HR4" s="94"/>
      <c r="HS4" s="94"/>
      <c r="HT4" s="94"/>
      <c r="HU4" s="94"/>
      <c r="HV4" s="94"/>
      <c r="HW4" s="94"/>
      <c r="HX4" s="94"/>
      <c r="HY4" s="94"/>
      <c r="HZ4" s="94"/>
      <c r="IA4" s="94"/>
      <c r="IB4" s="94"/>
      <c r="IC4" s="94"/>
      <c r="ID4" s="94"/>
      <c r="IE4" s="94"/>
      <c r="IF4" s="94"/>
      <c r="IG4" s="94"/>
      <c r="IH4" s="94"/>
      <c r="II4" s="94"/>
      <c r="IJ4" s="94"/>
      <c r="IK4" s="94"/>
    </row>
    <row r="5" spans="1:245" s="27" customFormat="1" ht="46.5" customHeight="1" x14ac:dyDescent="0.25">
      <c r="A5" s="837"/>
      <c r="B5" s="837"/>
      <c r="C5" s="839"/>
      <c r="D5" s="130" t="s">
        <v>146</v>
      </c>
      <c r="E5" s="130" t="s">
        <v>147</v>
      </c>
      <c r="F5" s="130" t="s">
        <v>146</v>
      </c>
      <c r="G5" s="130" t="s">
        <v>147</v>
      </c>
      <c r="H5" s="94"/>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c r="AK5" s="94"/>
      <c r="AL5" s="94"/>
      <c r="AM5" s="94"/>
      <c r="AN5" s="94"/>
      <c r="AO5" s="94"/>
      <c r="AP5" s="94"/>
      <c r="AQ5" s="94"/>
      <c r="AR5" s="94"/>
      <c r="AS5" s="94"/>
      <c r="AT5" s="94"/>
      <c r="AU5" s="94"/>
      <c r="AV5" s="94"/>
      <c r="AW5" s="94"/>
      <c r="AX5" s="94"/>
      <c r="AY5" s="94"/>
      <c r="AZ5" s="94"/>
      <c r="BA5" s="94"/>
      <c r="BB5" s="94"/>
      <c r="BC5" s="94"/>
      <c r="BD5" s="94"/>
      <c r="BE5" s="94"/>
      <c r="BF5" s="94"/>
      <c r="BG5" s="94"/>
      <c r="BH5" s="94"/>
      <c r="BI5" s="94"/>
      <c r="BJ5" s="94"/>
      <c r="BK5" s="94"/>
      <c r="BL5" s="94"/>
      <c r="BM5" s="94"/>
      <c r="BN5" s="94"/>
      <c r="BO5" s="94"/>
      <c r="BP5" s="94"/>
      <c r="BQ5" s="94"/>
      <c r="BR5" s="94"/>
      <c r="BS5" s="94"/>
      <c r="BT5" s="94"/>
      <c r="BU5" s="94"/>
      <c r="BV5" s="94"/>
      <c r="BW5" s="94"/>
      <c r="BX5" s="94"/>
      <c r="BY5" s="94"/>
      <c r="BZ5" s="94"/>
      <c r="CA5" s="94"/>
      <c r="CB5" s="94"/>
      <c r="CC5" s="94"/>
      <c r="CD5" s="94"/>
      <c r="CE5" s="94"/>
      <c r="CF5" s="94"/>
      <c r="CG5" s="94"/>
      <c r="CH5" s="94"/>
      <c r="CI5" s="94"/>
      <c r="CJ5" s="94"/>
      <c r="CK5" s="94"/>
      <c r="CL5" s="94"/>
      <c r="CM5" s="94"/>
      <c r="CN5" s="94"/>
      <c r="CO5" s="94"/>
      <c r="CP5" s="94"/>
      <c r="CQ5" s="94"/>
      <c r="CR5" s="94"/>
      <c r="CS5" s="94"/>
      <c r="CT5" s="94"/>
      <c r="CU5" s="94"/>
      <c r="CV5" s="94"/>
      <c r="CW5" s="94"/>
      <c r="CX5" s="94"/>
      <c r="CY5" s="94"/>
      <c r="CZ5" s="94"/>
      <c r="DA5" s="94"/>
      <c r="DB5" s="94"/>
      <c r="DC5" s="94"/>
      <c r="DD5" s="94"/>
      <c r="DE5" s="94"/>
      <c r="DF5" s="94"/>
      <c r="DG5" s="94"/>
      <c r="DH5" s="94"/>
      <c r="DI5" s="94"/>
      <c r="DJ5" s="94"/>
      <c r="DK5" s="94"/>
      <c r="DL5" s="94"/>
      <c r="DM5" s="94"/>
      <c r="DN5" s="94"/>
      <c r="DO5" s="94"/>
      <c r="DP5" s="94"/>
      <c r="DQ5" s="94"/>
      <c r="DR5" s="94"/>
      <c r="DS5" s="94"/>
      <c r="DT5" s="94"/>
      <c r="DU5" s="94"/>
      <c r="DV5" s="94"/>
      <c r="DW5" s="94"/>
      <c r="DX5" s="94"/>
      <c r="DY5" s="94"/>
      <c r="DZ5" s="94"/>
      <c r="EA5" s="94"/>
      <c r="EB5" s="94"/>
      <c r="EC5" s="94"/>
      <c r="ED5" s="94"/>
      <c r="EE5" s="94"/>
      <c r="EF5" s="94"/>
      <c r="EG5" s="94"/>
      <c r="EH5" s="94"/>
      <c r="EI5" s="94"/>
      <c r="EJ5" s="94"/>
      <c r="EK5" s="94"/>
      <c r="EL5" s="94"/>
      <c r="EM5" s="94"/>
      <c r="EN5" s="94"/>
      <c r="EO5" s="94"/>
      <c r="EP5" s="94"/>
      <c r="EQ5" s="94"/>
      <c r="ER5" s="94"/>
      <c r="ES5" s="94"/>
      <c r="ET5" s="94"/>
      <c r="EU5" s="94"/>
      <c r="EV5" s="94"/>
      <c r="EW5" s="94"/>
      <c r="EX5" s="94"/>
      <c r="EY5" s="94"/>
      <c r="EZ5" s="94"/>
      <c r="FA5" s="94"/>
      <c r="FB5" s="94"/>
      <c r="FC5" s="94"/>
      <c r="FD5" s="94"/>
      <c r="FE5" s="94"/>
      <c r="FF5" s="94"/>
      <c r="FG5" s="94"/>
      <c r="FH5" s="94"/>
      <c r="FI5" s="94"/>
      <c r="FJ5" s="94"/>
      <c r="FK5" s="94"/>
      <c r="FL5" s="94"/>
      <c r="FM5" s="94"/>
      <c r="FN5" s="94"/>
      <c r="FO5" s="94"/>
      <c r="FP5" s="94"/>
      <c r="FQ5" s="94"/>
      <c r="FR5" s="94"/>
      <c r="FS5" s="94"/>
      <c r="FT5" s="94"/>
      <c r="FU5" s="94"/>
      <c r="FV5" s="94"/>
      <c r="FW5" s="94"/>
      <c r="FX5" s="94"/>
      <c r="FY5" s="94"/>
      <c r="FZ5" s="94"/>
      <c r="GA5" s="94"/>
      <c r="GB5" s="94"/>
      <c r="GC5" s="94"/>
      <c r="GD5" s="94"/>
      <c r="GE5" s="94"/>
      <c r="GF5" s="94"/>
      <c r="GG5" s="94"/>
      <c r="GH5" s="94"/>
      <c r="GI5" s="94"/>
      <c r="GJ5" s="94"/>
      <c r="GK5" s="94"/>
      <c r="GL5" s="94"/>
      <c r="GM5" s="94"/>
      <c r="GN5" s="94"/>
      <c r="GO5" s="94"/>
      <c r="GP5" s="94"/>
      <c r="GQ5" s="94"/>
      <c r="GR5" s="94"/>
      <c r="GS5" s="94"/>
      <c r="GT5" s="94"/>
      <c r="GU5" s="94"/>
      <c r="GV5" s="94"/>
      <c r="GW5" s="94"/>
      <c r="GX5" s="94"/>
      <c r="GY5" s="94"/>
      <c r="GZ5" s="94"/>
      <c r="HA5" s="94"/>
      <c r="HB5" s="94"/>
      <c r="HC5" s="94"/>
      <c r="HD5" s="94"/>
      <c r="HE5" s="94"/>
      <c r="HF5" s="94"/>
      <c r="HG5" s="94"/>
      <c r="HH5" s="94"/>
      <c r="HI5" s="94"/>
      <c r="HJ5" s="94"/>
      <c r="HK5" s="94"/>
      <c r="HL5" s="94"/>
      <c r="HM5" s="94"/>
      <c r="HN5" s="94"/>
      <c r="HO5" s="94"/>
      <c r="HP5" s="94"/>
      <c r="HQ5" s="94"/>
      <c r="HR5" s="94"/>
      <c r="HS5" s="94"/>
      <c r="HT5" s="94"/>
      <c r="HU5" s="94"/>
      <c r="HV5" s="94"/>
      <c r="HW5" s="94"/>
      <c r="HX5" s="94"/>
      <c r="HY5" s="94"/>
      <c r="HZ5" s="94"/>
      <c r="IA5" s="94"/>
      <c r="IB5" s="94"/>
      <c r="IC5" s="94"/>
      <c r="ID5" s="94"/>
      <c r="IE5" s="94"/>
      <c r="IF5" s="94"/>
      <c r="IG5" s="94"/>
      <c r="IH5" s="94"/>
      <c r="II5" s="94"/>
      <c r="IJ5" s="94"/>
      <c r="IK5" s="94"/>
    </row>
    <row r="6" spans="1:245" s="28" customFormat="1" ht="36.75" customHeight="1" x14ac:dyDescent="0.25">
      <c r="A6" s="131">
        <v>1</v>
      </c>
      <c r="B6" s="355" t="s">
        <v>564</v>
      </c>
      <c r="C6" s="132">
        <f>E6+G6</f>
        <v>10957</v>
      </c>
      <c r="D6" s="292">
        <v>1</v>
      </c>
      <c r="E6" s="132">
        <v>10435</v>
      </c>
      <c r="F6" s="292">
        <v>0.05</v>
      </c>
      <c r="G6" s="132">
        <f>ROUND(E6*F6,0)</f>
        <v>522</v>
      </c>
    </row>
    <row r="7" spans="1:245" s="28" customFormat="1" ht="36.75" customHeight="1" x14ac:dyDescent="0.25">
      <c r="A7" s="834" t="s">
        <v>67</v>
      </c>
      <c r="B7" s="834"/>
      <c r="C7" s="544">
        <f>SUM(E7:G7)</f>
        <v>10957</v>
      </c>
      <c r="D7" s="544"/>
      <c r="E7" s="544">
        <f>E6</f>
        <v>10435</v>
      </c>
      <c r="F7" s="544"/>
      <c r="G7" s="544">
        <f>G6</f>
        <v>522</v>
      </c>
    </row>
    <row r="8" spans="1:245" s="28" customFormat="1" ht="38.25" hidden="1" customHeight="1" x14ac:dyDescent="0.25">
      <c r="A8" s="832" t="s">
        <v>573</v>
      </c>
      <c r="B8" s="832"/>
      <c r="C8" s="543">
        <v>10079</v>
      </c>
      <c r="D8" s="543"/>
      <c r="E8" s="543"/>
      <c r="F8" s="543"/>
      <c r="G8" s="543"/>
    </row>
    <row r="9" spans="1:245" s="28" customFormat="1" ht="38.25" hidden="1" customHeight="1" x14ac:dyDescent="0.25">
      <c r="A9" s="833" t="s">
        <v>570</v>
      </c>
      <c r="B9" s="833"/>
      <c r="C9" s="490">
        <f>C7-C8</f>
        <v>878</v>
      </c>
      <c r="D9" s="490"/>
      <c r="E9" s="490"/>
      <c r="F9" s="490"/>
      <c r="G9" s="490"/>
    </row>
    <row r="10" spans="1:245" s="64" customFormat="1" x14ac:dyDescent="0.25">
      <c r="I10" s="63"/>
    </row>
  </sheetData>
  <mergeCells count="11">
    <mergeCell ref="E1:G1"/>
    <mergeCell ref="A8:B8"/>
    <mergeCell ref="A9:B9"/>
    <mergeCell ref="A7:B7"/>
    <mergeCell ref="A2:G2"/>
    <mergeCell ref="A3:G3"/>
    <mergeCell ref="A4:A5"/>
    <mergeCell ref="B4:B5"/>
    <mergeCell ref="C4:C5"/>
    <mergeCell ref="D4:E4"/>
    <mergeCell ref="F4:G4"/>
  </mergeCells>
  <pageMargins left="1.1811023622047245" right="0.78740157480314965" top="0.78740157480314965" bottom="0.78740157480314965" header="0.31496062992125984" footer="0.31496062992125984"/>
  <pageSetup paperSize="9" firstPageNumber="177" fitToHeight="0" orientation="landscape" useFirstPageNumber="1" r:id="rId1"/>
  <headerFooter>
    <oddHeader>&amp;C&amp;P</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U20"/>
  <sheetViews>
    <sheetView view="pageBreakPreview" topLeftCell="A4" zoomScale="60" zoomScaleNormal="100" zoomScalePageLayoutView="70" workbookViewId="0">
      <selection activeCell="K12" sqref="K12"/>
    </sheetView>
  </sheetViews>
  <sheetFormatPr defaultColWidth="9" defaultRowHeight="15.75" x14ac:dyDescent="0.25"/>
  <cols>
    <col min="1" max="1" width="5.875" style="67" customWidth="1"/>
    <col min="2" max="2" width="39.125" style="73" customWidth="1"/>
    <col min="3" max="3" width="10.75" style="67" customWidth="1"/>
    <col min="4" max="5" width="10.75" style="73" customWidth="1"/>
    <col min="6" max="9" width="10.75" style="195" customWidth="1"/>
    <col min="10" max="10" width="10.75" style="196" customWidth="1"/>
    <col min="11" max="13" width="10.75" style="73" customWidth="1"/>
    <col min="14" max="16384" width="9" style="73"/>
  </cols>
  <sheetData>
    <row r="1" spans="1:255" s="27" customFormat="1" ht="37.5" customHeight="1" x14ac:dyDescent="0.25">
      <c r="A1" s="23"/>
      <c r="B1" s="23"/>
      <c r="C1" s="95"/>
      <c r="D1" s="95"/>
      <c r="E1" s="95"/>
      <c r="F1" s="95"/>
      <c r="I1" s="23"/>
      <c r="K1" s="831" t="s">
        <v>621</v>
      </c>
      <c r="L1" s="841"/>
      <c r="M1" s="841"/>
    </row>
    <row r="2" spans="1:255" ht="21.75" customHeight="1" x14ac:dyDescent="0.25">
      <c r="A2" s="842" t="s">
        <v>164</v>
      </c>
      <c r="B2" s="842"/>
      <c r="C2" s="842"/>
      <c r="D2" s="842"/>
      <c r="E2" s="842"/>
      <c r="F2" s="842"/>
      <c r="G2" s="842"/>
      <c r="H2" s="842"/>
      <c r="I2" s="842"/>
      <c r="J2" s="842"/>
      <c r="K2" s="842"/>
      <c r="L2" s="842"/>
      <c r="M2" s="842"/>
    </row>
    <row r="3" spans="1:255" s="18" customFormat="1" ht="27" customHeight="1" x14ac:dyDescent="0.25">
      <c r="A3" s="843" t="str">
        <f>'B12-DA7'!A3:L3</f>
        <v>(Kèm theo Báo cáo số:          /BC-UBND ngày          tháng 11 năm 2023 của UBND tỉnh)</v>
      </c>
      <c r="B3" s="844"/>
      <c r="C3" s="844"/>
      <c r="D3" s="844"/>
      <c r="E3" s="844"/>
      <c r="F3" s="844"/>
      <c r="G3" s="844"/>
      <c r="H3" s="844"/>
      <c r="I3" s="844"/>
      <c r="J3" s="844"/>
      <c r="K3" s="844"/>
      <c r="L3" s="844"/>
      <c r="M3" s="844"/>
      <c r="N3" s="68"/>
      <c r="O3" s="68"/>
      <c r="P3" s="68"/>
      <c r="Q3" s="68"/>
      <c r="R3" s="68"/>
      <c r="S3" s="68"/>
      <c r="T3" s="68"/>
      <c r="U3" s="68"/>
      <c r="V3" s="68"/>
      <c r="W3" s="68"/>
      <c r="X3" s="68"/>
      <c r="Y3" s="68"/>
      <c r="Z3" s="840"/>
      <c r="AA3" s="840"/>
      <c r="AB3" s="840"/>
      <c r="AC3" s="840"/>
      <c r="AD3" s="840"/>
      <c r="AE3" s="840"/>
      <c r="AF3" s="840"/>
      <c r="AG3" s="840"/>
      <c r="AH3" s="840"/>
      <c r="AI3" s="840"/>
      <c r="AJ3" s="840"/>
      <c r="AK3" s="840"/>
      <c r="AL3" s="840"/>
      <c r="AM3" s="840"/>
      <c r="AN3" s="840"/>
      <c r="AO3" s="840"/>
      <c r="AP3" s="840"/>
      <c r="AQ3" s="840"/>
      <c r="AR3" s="840"/>
      <c r="AS3" s="840"/>
      <c r="AT3" s="840"/>
      <c r="AU3" s="840"/>
      <c r="AV3" s="840"/>
      <c r="AW3" s="840"/>
      <c r="AX3" s="840"/>
      <c r="AY3" s="840"/>
      <c r="AZ3" s="840"/>
      <c r="BA3" s="840"/>
      <c r="BB3" s="840"/>
      <c r="BC3" s="840"/>
      <c r="BD3" s="840"/>
      <c r="BE3" s="840"/>
      <c r="BF3" s="840"/>
      <c r="BG3" s="840"/>
      <c r="BH3" s="840"/>
      <c r="BI3" s="840"/>
      <c r="BJ3" s="840"/>
      <c r="BK3" s="840"/>
      <c r="BL3" s="840"/>
      <c r="BM3" s="840"/>
      <c r="BN3" s="840"/>
      <c r="BO3" s="840"/>
      <c r="BP3" s="840"/>
      <c r="BQ3" s="840"/>
      <c r="BR3" s="840"/>
      <c r="BS3" s="840"/>
      <c r="BT3" s="840"/>
      <c r="BU3" s="840"/>
      <c r="BV3" s="840"/>
      <c r="BW3" s="840"/>
      <c r="BX3" s="840"/>
      <c r="BY3" s="840"/>
      <c r="BZ3" s="840"/>
      <c r="CA3" s="840"/>
      <c r="CB3" s="840"/>
      <c r="CC3" s="840"/>
      <c r="CD3" s="840"/>
      <c r="CE3" s="840"/>
      <c r="CF3" s="840"/>
      <c r="CG3" s="840"/>
      <c r="CH3" s="840"/>
      <c r="CI3" s="840"/>
      <c r="CJ3" s="840"/>
      <c r="CK3" s="840"/>
      <c r="CL3" s="840"/>
      <c r="CM3" s="840"/>
      <c r="CN3" s="840"/>
      <c r="CO3" s="840"/>
      <c r="CP3" s="840"/>
      <c r="CQ3" s="840"/>
      <c r="CR3" s="840"/>
      <c r="CS3" s="840"/>
      <c r="CT3" s="840"/>
      <c r="CU3" s="840"/>
      <c r="CV3" s="840"/>
      <c r="CW3" s="840"/>
      <c r="CX3" s="840"/>
      <c r="CY3" s="840"/>
      <c r="CZ3" s="840"/>
      <c r="DA3" s="840"/>
      <c r="DB3" s="840"/>
      <c r="DC3" s="840"/>
      <c r="DD3" s="840"/>
      <c r="DE3" s="840"/>
      <c r="DF3" s="840"/>
      <c r="DG3" s="840"/>
      <c r="DH3" s="840"/>
      <c r="DI3" s="840"/>
      <c r="DJ3" s="840"/>
      <c r="DK3" s="840"/>
      <c r="DL3" s="840"/>
      <c r="DM3" s="840"/>
      <c r="DN3" s="840"/>
      <c r="DO3" s="840"/>
      <c r="DP3" s="840"/>
      <c r="DQ3" s="840"/>
      <c r="DR3" s="840"/>
      <c r="DS3" s="840"/>
      <c r="DT3" s="840"/>
      <c r="DU3" s="840"/>
      <c r="DV3" s="840"/>
      <c r="DW3" s="840"/>
      <c r="DX3" s="840"/>
      <c r="DY3" s="840"/>
      <c r="DZ3" s="840"/>
      <c r="EA3" s="840"/>
      <c r="EB3" s="840"/>
      <c r="EC3" s="840"/>
      <c r="ED3" s="840"/>
      <c r="EE3" s="840"/>
      <c r="EF3" s="840"/>
      <c r="EG3" s="840"/>
      <c r="EH3" s="840"/>
      <c r="EI3" s="840"/>
      <c r="EJ3" s="840"/>
      <c r="EK3" s="840"/>
      <c r="EL3" s="840"/>
      <c r="EM3" s="840"/>
      <c r="EN3" s="840"/>
      <c r="EO3" s="840"/>
      <c r="EP3" s="840"/>
      <c r="EQ3" s="840"/>
      <c r="ER3" s="840"/>
      <c r="ES3" s="840"/>
      <c r="ET3" s="840"/>
      <c r="EU3" s="840"/>
      <c r="EV3" s="840"/>
      <c r="EW3" s="840"/>
      <c r="EX3" s="840"/>
      <c r="EY3" s="840"/>
      <c r="EZ3" s="840"/>
      <c r="FA3" s="840"/>
      <c r="FB3" s="840"/>
      <c r="FC3" s="840"/>
      <c r="FD3" s="840"/>
      <c r="FE3" s="840"/>
      <c r="FF3" s="840"/>
      <c r="FG3" s="840"/>
      <c r="FH3" s="840"/>
      <c r="FI3" s="840"/>
      <c r="FJ3" s="840"/>
      <c r="FK3" s="840"/>
      <c r="FL3" s="840"/>
      <c r="FM3" s="840"/>
      <c r="FN3" s="840"/>
      <c r="FO3" s="840"/>
      <c r="FP3" s="840"/>
      <c r="FQ3" s="840"/>
      <c r="FR3" s="840"/>
      <c r="FS3" s="840"/>
      <c r="FT3" s="840"/>
      <c r="FU3" s="840"/>
      <c r="FV3" s="840"/>
      <c r="FW3" s="840"/>
      <c r="FX3" s="840"/>
      <c r="FY3" s="840"/>
      <c r="FZ3" s="840"/>
      <c r="GA3" s="840"/>
      <c r="GB3" s="840"/>
      <c r="GC3" s="840"/>
      <c r="GD3" s="840"/>
      <c r="GE3" s="840"/>
      <c r="GF3" s="840"/>
      <c r="GG3" s="840"/>
      <c r="GH3" s="840"/>
      <c r="GI3" s="840"/>
      <c r="GJ3" s="840"/>
      <c r="GK3" s="840"/>
      <c r="GL3" s="840"/>
      <c r="GM3" s="840"/>
      <c r="GN3" s="840"/>
      <c r="GO3" s="840"/>
      <c r="GP3" s="840"/>
      <c r="GQ3" s="840"/>
      <c r="GR3" s="840"/>
      <c r="GS3" s="840"/>
      <c r="GT3" s="840"/>
      <c r="GU3" s="840"/>
      <c r="GV3" s="840"/>
      <c r="GW3" s="840"/>
      <c r="GX3" s="840"/>
      <c r="GY3" s="840"/>
      <c r="GZ3" s="840"/>
      <c r="HA3" s="840"/>
      <c r="HB3" s="840"/>
      <c r="HC3" s="840"/>
      <c r="HD3" s="840"/>
      <c r="HE3" s="840"/>
      <c r="HF3" s="840"/>
      <c r="HG3" s="840"/>
      <c r="HH3" s="840"/>
      <c r="HI3" s="840"/>
      <c r="HJ3" s="840"/>
      <c r="HK3" s="840"/>
      <c r="HL3" s="840"/>
      <c r="HM3" s="840"/>
      <c r="HN3" s="840"/>
      <c r="HO3" s="840"/>
      <c r="HP3" s="840"/>
      <c r="HQ3" s="840"/>
      <c r="HR3" s="840"/>
      <c r="HS3" s="840"/>
      <c r="HT3" s="840"/>
      <c r="HU3" s="840"/>
      <c r="HV3" s="840"/>
      <c r="HW3" s="840"/>
      <c r="HX3" s="840"/>
      <c r="HY3" s="840"/>
      <c r="HZ3" s="840"/>
      <c r="IA3" s="840"/>
      <c r="IB3" s="840"/>
      <c r="IC3" s="840"/>
      <c r="ID3" s="840"/>
      <c r="IE3" s="840"/>
      <c r="IF3" s="840"/>
      <c r="IG3" s="840"/>
      <c r="IH3" s="840"/>
      <c r="II3" s="840"/>
      <c r="IJ3" s="840"/>
      <c r="IK3" s="840"/>
      <c r="IL3" s="840"/>
      <c r="IM3" s="840"/>
      <c r="IN3" s="840"/>
      <c r="IO3" s="840"/>
      <c r="IP3" s="840"/>
      <c r="IQ3" s="840"/>
      <c r="IR3" s="840"/>
      <c r="IS3" s="840"/>
      <c r="IT3" s="840"/>
      <c r="IU3" s="840"/>
    </row>
    <row r="4" spans="1:255" s="66" customFormat="1" ht="55.5" customHeight="1" x14ac:dyDescent="0.25">
      <c r="A4" s="65" t="s">
        <v>1</v>
      </c>
      <c r="B4" s="65" t="s">
        <v>35</v>
      </c>
      <c r="C4" s="65" t="s">
        <v>36</v>
      </c>
      <c r="D4" s="65" t="s">
        <v>37</v>
      </c>
      <c r="E4" s="65" t="s">
        <v>121</v>
      </c>
      <c r="F4" s="65" t="s">
        <v>38</v>
      </c>
      <c r="G4" s="65" t="s">
        <v>39</v>
      </c>
      <c r="H4" s="65" t="s">
        <v>40</v>
      </c>
      <c r="I4" s="65" t="s">
        <v>41</v>
      </c>
      <c r="J4" s="65" t="s">
        <v>42</v>
      </c>
      <c r="K4" s="65" t="s">
        <v>43</v>
      </c>
      <c r="L4" s="65" t="s">
        <v>44</v>
      </c>
      <c r="M4" s="65" t="s">
        <v>45</v>
      </c>
    </row>
    <row r="5" spans="1:255" s="66" customFormat="1" ht="22.5" customHeight="1" x14ac:dyDescent="0.25">
      <c r="A5" s="198" t="s">
        <v>46</v>
      </c>
      <c r="B5" s="199" t="s">
        <v>47</v>
      </c>
      <c r="C5" s="198"/>
      <c r="D5" s="198"/>
      <c r="E5" s="198"/>
      <c r="F5" s="198"/>
      <c r="G5" s="198"/>
      <c r="H5" s="198"/>
      <c r="I5" s="198"/>
      <c r="J5" s="198"/>
      <c r="K5" s="198"/>
      <c r="L5" s="198"/>
      <c r="M5" s="198"/>
    </row>
    <row r="6" spans="1:255" s="66" customFormat="1" ht="69.75" customHeight="1" x14ac:dyDescent="0.25">
      <c r="A6" s="200">
        <v>1</v>
      </c>
      <c r="B6" s="628" t="s">
        <v>122</v>
      </c>
      <c r="C6" s="200" t="s">
        <v>70</v>
      </c>
      <c r="D6" s="201">
        <f>SUM(F6:M6)</f>
        <v>69</v>
      </c>
      <c r="E6" s="201"/>
      <c r="F6" s="201">
        <v>8</v>
      </c>
      <c r="G6" s="201">
        <v>10</v>
      </c>
      <c r="H6" s="201">
        <v>9</v>
      </c>
      <c r="I6" s="201">
        <v>8</v>
      </c>
      <c r="J6" s="201">
        <v>14</v>
      </c>
      <c r="K6" s="201">
        <v>10</v>
      </c>
      <c r="L6" s="201">
        <v>10</v>
      </c>
      <c r="M6" s="201">
        <v>0</v>
      </c>
    </row>
    <row r="7" spans="1:255" s="66" customFormat="1" ht="63.75" customHeight="1" x14ac:dyDescent="0.25">
      <c r="A7" s="200">
        <v>2</v>
      </c>
      <c r="B7" s="628" t="s">
        <v>123</v>
      </c>
      <c r="C7" s="200" t="s">
        <v>73</v>
      </c>
      <c r="D7" s="201">
        <f>SUM(F7:M7)</f>
        <v>55</v>
      </c>
      <c r="E7" s="201"/>
      <c r="F7" s="201">
        <v>9</v>
      </c>
      <c r="G7" s="201">
        <v>13</v>
      </c>
      <c r="H7" s="201">
        <v>1</v>
      </c>
      <c r="I7" s="201">
        <v>10</v>
      </c>
      <c r="J7" s="201">
        <v>7</v>
      </c>
      <c r="K7" s="201">
        <v>0</v>
      </c>
      <c r="L7" s="201">
        <v>14</v>
      </c>
      <c r="M7" s="201">
        <v>1</v>
      </c>
    </row>
    <row r="8" spans="1:255" ht="22.5" customHeight="1" x14ac:dyDescent="0.25">
      <c r="A8" s="202" t="s">
        <v>31</v>
      </c>
      <c r="B8" s="629" t="s">
        <v>79</v>
      </c>
      <c r="C8" s="202"/>
      <c r="D8" s="204">
        <f>SUM(D9:D10)</f>
        <v>800</v>
      </c>
      <c r="E8" s="204"/>
      <c r="F8" s="204">
        <f t="shared" ref="F8:M8" si="0">SUM(F9:F10)</f>
        <v>98</v>
      </c>
      <c r="G8" s="204">
        <f t="shared" si="0"/>
        <v>126</v>
      </c>
      <c r="H8" s="204">
        <f t="shared" si="0"/>
        <v>92</v>
      </c>
      <c r="I8" s="204">
        <f t="shared" si="0"/>
        <v>100</v>
      </c>
      <c r="J8" s="204">
        <f t="shared" si="0"/>
        <v>154</v>
      </c>
      <c r="K8" s="204">
        <f t="shared" si="0"/>
        <v>100</v>
      </c>
      <c r="L8" s="204">
        <f t="shared" si="0"/>
        <v>128</v>
      </c>
      <c r="M8" s="204">
        <f t="shared" si="0"/>
        <v>2</v>
      </c>
    </row>
    <row r="9" spans="1:255" ht="69.75" customHeight="1" x14ac:dyDescent="0.25">
      <c r="A9" s="200">
        <v>1</v>
      </c>
      <c r="B9" s="628" t="s">
        <v>122</v>
      </c>
      <c r="C9" s="200">
        <v>10</v>
      </c>
      <c r="D9" s="201">
        <f>SUM(F9:M9)</f>
        <v>690</v>
      </c>
      <c r="E9" s="201"/>
      <c r="F9" s="201">
        <f>$C9*F6</f>
        <v>80</v>
      </c>
      <c r="G9" s="201">
        <f t="shared" ref="G9:M9" si="1">$C9*G6</f>
        <v>100</v>
      </c>
      <c r="H9" s="201">
        <f t="shared" si="1"/>
        <v>90</v>
      </c>
      <c r="I9" s="201">
        <f t="shared" si="1"/>
        <v>80</v>
      </c>
      <c r="J9" s="201">
        <f t="shared" si="1"/>
        <v>140</v>
      </c>
      <c r="K9" s="201">
        <f t="shared" si="1"/>
        <v>100</v>
      </c>
      <c r="L9" s="201">
        <f t="shared" si="1"/>
        <v>100</v>
      </c>
      <c r="M9" s="201">
        <f t="shared" si="1"/>
        <v>0</v>
      </c>
    </row>
    <row r="10" spans="1:255" ht="72.75" customHeight="1" x14ac:dyDescent="0.25">
      <c r="A10" s="200">
        <v>2</v>
      </c>
      <c r="B10" s="628" t="s">
        <v>123</v>
      </c>
      <c r="C10" s="200">
        <v>2</v>
      </c>
      <c r="D10" s="201">
        <f>SUM(F10:M10)</f>
        <v>110</v>
      </c>
      <c r="E10" s="201"/>
      <c r="F10" s="201">
        <f>$C10*F7</f>
        <v>18</v>
      </c>
      <c r="G10" s="201">
        <f t="shared" ref="G10:M10" si="2">$C10*G7</f>
        <v>26</v>
      </c>
      <c r="H10" s="201">
        <f t="shared" si="2"/>
        <v>2</v>
      </c>
      <c r="I10" s="201">
        <f t="shared" si="2"/>
        <v>20</v>
      </c>
      <c r="J10" s="201">
        <f t="shared" si="2"/>
        <v>14</v>
      </c>
      <c r="K10" s="201">
        <f t="shared" si="2"/>
        <v>0</v>
      </c>
      <c r="L10" s="201">
        <f t="shared" si="2"/>
        <v>28</v>
      </c>
      <c r="M10" s="201">
        <f t="shared" si="2"/>
        <v>2</v>
      </c>
    </row>
    <row r="11" spans="1:255" s="197" customFormat="1" ht="23.25" customHeight="1" x14ac:dyDescent="0.25">
      <c r="A11" s="205" t="s">
        <v>54</v>
      </c>
      <c r="B11" s="629" t="s">
        <v>583</v>
      </c>
      <c r="C11" s="202"/>
      <c r="D11" s="206">
        <v>27198</v>
      </c>
      <c r="E11" s="206">
        <f>E12</f>
        <v>3264</v>
      </c>
      <c r="F11" s="206">
        <f t="shared" ref="F11:M11" si="3">F12</f>
        <v>2932</v>
      </c>
      <c r="G11" s="206">
        <f t="shared" si="3"/>
        <v>3770</v>
      </c>
      <c r="H11" s="206">
        <f t="shared" si="3"/>
        <v>2752</v>
      </c>
      <c r="I11" s="206">
        <f t="shared" si="3"/>
        <v>2992</v>
      </c>
      <c r="J11" s="206">
        <f t="shared" si="3"/>
        <v>4607</v>
      </c>
      <c r="K11" s="206">
        <f t="shared" si="3"/>
        <v>2992</v>
      </c>
      <c r="L11" s="206">
        <f t="shared" si="3"/>
        <v>3829</v>
      </c>
      <c r="M11" s="206">
        <f t="shared" si="3"/>
        <v>60</v>
      </c>
    </row>
    <row r="12" spans="1:255" s="74" customFormat="1" ht="23.25" customHeight="1" x14ac:dyDescent="0.25">
      <c r="A12" s="207">
        <v>1</v>
      </c>
      <c r="B12" s="628" t="s">
        <v>165</v>
      </c>
      <c r="C12" s="200" t="s">
        <v>55</v>
      </c>
      <c r="D12" s="133">
        <f>SUM(E12:M12)</f>
        <v>27198</v>
      </c>
      <c r="E12" s="133">
        <f>ROUND(D11*12%,0)</f>
        <v>3264</v>
      </c>
      <c r="F12" s="133">
        <f>ROUND(($D$11-$E$11)/$D$8*F8,0)</f>
        <v>2932</v>
      </c>
      <c r="G12" s="133">
        <f t="shared" ref="G12:M12" si="4">ROUND(($D$11-$E$11)/$D$8*G8,0)</f>
        <v>3770</v>
      </c>
      <c r="H12" s="133">
        <f t="shared" si="4"/>
        <v>2752</v>
      </c>
      <c r="I12" s="133">
        <f t="shared" si="4"/>
        <v>2992</v>
      </c>
      <c r="J12" s="133">
        <f t="shared" si="4"/>
        <v>4607</v>
      </c>
      <c r="K12" s="133">
        <f t="shared" si="4"/>
        <v>2992</v>
      </c>
      <c r="L12" s="133">
        <f>ROUND(($D$11-$E$11)/$D$8*L8,0)</f>
        <v>3829</v>
      </c>
      <c r="M12" s="133">
        <f t="shared" si="4"/>
        <v>60</v>
      </c>
      <c r="N12" s="62"/>
    </row>
    <row r="13" spans="1:255" s="197" customFormat="1" ht="23.25" customHeight="1" x14ac:dyDescent="0.25">
      <c r="A13" s="205" t="s">
        <v>56</v>
      </c>
      <c r="B13" s="629" t="s">
        <v>260</v>
      </c>
      <c r="C13" s="202"/>
      <c r="D13" s="206">
        <f>D14</f>
        <v>1360</v>
      </c>
      <c r="E13" s="206">
        <f t="shared" ref="E13:M13" si="5">E14</f>
        <v>162</v>
      </c>
      <c r="F13" s="206">
        <f t="shared" si="5"/>
        <v>147</v>
      </c>
      <c r="G13" s="206">
        <f t="shared" si="5"/>
        <v>189</v>
      </c>
      <c r="H13" s="206">
        <f t="shared" si="5"/>
        <v>138</v>
      </c>
      <c r="I13" s="206">
        <f t="shared" si="5"/>
        <v>150</v>
      </c>
      <c r="J13" s="206">
        <f t="shared" si="5"/>
        <v>230</v>
      </c>
      <c r="K13" s="206">
        <f t="shared" si="5"/>
        <v>150</v>
      </c>
      <c r="L13" s="206">
        <f t="shared" si="5"/>
        <v>191</v>
      </c>
      <c r="M13" s="206">
        <f t="shared" si="5"/>
        <v>3</v>
      </c>
    </row>
    <row r="14" spans="1:255" s="74" customFormat="1" ht="23.25" customHeight="1" x14ac:dyDescent="0.25">
      <c r="A14" s="207">
        <v>1</v>
      </c>
      <c r="B14" s="628" t="s">
        <v>165</v>
      </c>
      <c r="C14" s="200" t="s">
        <v>55</v>
      </c>
      <c r="D14" s="133">
        <f>SUM(E14:M14)</f>
        <v>1360</v>
      </c>
      <c r="E14" s="133">
        <f>ROUND(E12*5%,0)-1</f>
        <v>162</v>
      </c>
      <c r="F14" s="133">
        <f t="shared" ref="F14:M14" si="6">ROUND(F12*5%,0)</f>
        <v>147</v>
      </c>
      <c r="G14" s="133">
        <f t="shared" si="6"/>
        <v>189</v>
      </c>
      <c r="H14" s="133">
        <f t="shared" si="6"/>
        <v>138</v>
      </c>
      <c r="I14" s="133">
        <f t="shared" si="6"/>
        <v>150</v>
      </c>
      <c r="J14" s="133">
        <f t="shared" si="6"/>
        <v>230</v>
      </c>
      <c r="K14" s="133">
        <f t="shared" si="6"/>
        <v>150</v>
      </c>
      <c r="L14" s="133">
        <f t="shared" si="6"/>
        <v>191</v>
      </c>
      <c r="M14" s="133">
        <f t="shared" si="6"/>
        <v>3</v>
      </c>
      <c r="N14" s="62"/>
    </row>
    <row r="15" spans="1:255" s="197" customFormat="1" ht="23.25" customHeight="1" x14ac:dyDescent="0.25">
      <c r="A15" s="205" t="s">
        <v>57</v>
      </c>
      <c r="B15" s="629" t="s">
        <v>261</v>
      </c>
      <c r="C15" s="202"/>
      <c r="D15" s="206">
        <f>D16</f>
        <v>28558</v>
      </c>
      <c r="E15" s="206">
        <f>E16</f>
        <v>3426</v>
      </c>
      <c r="F15" s="206">
        <f t="shared" ref="F15:M15" si="7">F16</f>
        <v>3079</v>
      </c>
      <c r="G15" s="206">
        <f t="shared" si="7"/>
        <v>3959</v>
      </c>
      <c r="H15" s="206">
        <f t="shared" si="7"/>
        <v>2890</v>
      </c>
      <c r="I15" s="206">
        <f t="shared" si="7"/>
        <v>3142</v>
      </c>
      <c r="J15" s="206">
        <f t="shared" si="7"/>
        <v>4837</v>
      </c>
      <c r="K15" s="206">
        <f t="shared" si="7"/>
        <v>3142</v>
      </c>
      <c r="L15" s="206">
        <f t="shared" si="7"/>
        <v>4020</v>
      </c>
      <c r="M15" s="206">
        <f t="shared" si="7"/>
        <v>63</v>
      </c>
    </row>
    <row r="16" spans="1:255" s="74" customFormat="1" ht="23.25" customHeight="1" x14ac:dyDescent="0.25">
      <c r="A16" s="602">
        <v>1</v>
      </c>
      <c r="B16" s="630" t="s">
        <v>165</v>
      </c>
      <c r="C16" s="603" t="s">
        <v>55</v>
      </c>
      <c r="D16" s="559">
        <f>SUM(E16:M16)</f>
        <v>28558</v>
      </c>
      <c r="E16" s="559">
        <f>E12+E14</f>
        <v>3426</v>
      </c>
      <c r="F16" s="559">
        <f t="shared" ref="F16:M16" si="8">F12+F14</f>
        <v>3079</v>
      </c>
      <c r="G16" s="559">
        <f t="shared" si="8"/>
        <v>3959</v>
      </c>
      <c r="H16" s="559">
        <f t="shared" si="8"/>
        <v>2890</v>
      </c>
      <c r="I16" s="559">
        <f t="shared" si="8"/>
        <v>3142</v>
      </c>
      <c r="J16" s="559">
        <f t="shared" si="8"/>
        <v>4837</v>
      </c>
      <c r="K16" s="559">
        <f t="shared" si="8"/>
        <v>3142</v>
      </c>
      <c r="L16" s="559">
        <f t="shared" si="8"/>
        <v>4020</v>
      </c>
      <c r="M16" s="559">
        <f t="shared" si="8"/>
        <v>63</v>
      </c>
      <c r="N16" s="62"/>
    </row>
    <row r="17" spans="1:14" s="197" customFormat="1" ht="37.5" hidden="1" customHeight="1" x14ac:dyDescent="0.25">
      <c r="A17" s="599" t="s">
        <v>478</v>
      </c>
      <c r="B17" s="600" t="s">
        <v>573</v>
      </c>
      <c r="C17" s="601"/>
      <c r="D17" s="543">
        <f>D18</f>
        <v>30198.952617104616</v>
      </c>
      <c r="E17" s="543">
        <f>E18</f>
        <v>3684.7733801207764</v>
      </c>
      <c r="F17" s="543">
        <f t="shared" ref="F17" si="9">F18</f>
        <v>3310.154753141831</v>
      </c>
      <c r="G17" s="543">
        <f t="shared" ref="G17" si="10">G18</f>
        <v>4255.9132540394967</v>
      </c>
      <c r="H17" s="543">
        <f t="shared" ref="H17" si="11">H18</f>
        <v>2600</v>
      </c>
      <c r="I17" s="543">
        <f t="shared" ref="I17" si="12">I18</f>
        <v>3377.7089317773789</v>
      </c>
      <c r="J17" s="543">
        <f t="shared" ref="J17" si="13">J18</f>
        <v>5201.6717549371633</v>
      </c>
      <c r="K17" s="543">
        <f t="shared" ref="K17" si="14">K18</f>
        <v>3377.7089317773789</v>
      </c>
      <c r="L17" s="543">
        <f t="shared" ref="L17" si="15">L18</f>
        <v>4323.4674326750446</v>
      </c>
      <c r="M17" s="543">
        <f t="shared" ref="M17" si="16">M18</f>
        <v>67.554178635547572</v>
      </c>
    </row>
    <row r="18" spans="1:14" s="74" customFormat="1" ht="23.25" hidden="1" customHeight="1" x14ac:dyDescent="0.25">
      <c r="A18" s="494">
        <v>1</v>
      </c>
      <c r="B18" s="495" t="s">
        <v>165</v>
      </c>
      <c r="C18" s="496" t="s">
        <v>55</v>
      </c>
      <c r="D18" s="497">
        <f>SUM(E18:M18)</f>
        <v>30198.952617104616</v>
      </c>
      <c r="E18" s="497">
        <v>3684.7733801207764</v>
      </c>
      <c r="F18" s="497">
        <v>3310.154753141831</v>
      </c>
      <c r="G18" s="497">
        <v>4255.9132540394967</v>
      </c>
      <c r="H18" s="497">
        <v>2600</v>
      </c>
      <c r="I18" s="497">
        <v>3377.7089317773789</v>
      </c>
      <c r="J18" s="497">
        <v>5201.6717549371633</v>
      </c>
      <c r="K18" s="497">
        <v>3377.7089317773789</v>
      </c>
      <c r="L18" s="497">
        <v>4323.4674326750446</v>
      </c>
      <c r="M18" s="497">
        <v>67.554178635547572</v>
      </c>
      <c r="N18" s="62"/>
    </row>
    <row r="19" spans="1:14" s="197" customFormat="1" ht="37.5" hidden="1" customHeight="1" x14ac:dyDescent="0.25">
      <c r="A19" s="491" t="s">
        <v>497</v>
      </c>
      <c r="B19" s="492" t="s">
        <v>571</v>
      </c>
      <c r="C19" s="493"/>
      <c r="D19" s="489">
        <f>D20</f>
        <v>-1640.9526171046173</v>
      </c>
      <c r="E19" s="489">
        <f>E20</f>
        <v>-258.77338012077644</v>
      </c>
      <c r="F19" s="489">
        <f t="shared" ref="F19" si="17">F20</f>
        <v>-231.15475314183095</v>
      </c>
      <c r="G19" s="489">
        <f t="shared" ref="G19" si="18">G20</f>
        <v>-296.91325403949668</v>
      </c>
      <c r="H19" s="489">
        <f t="shared" ref="H19" si="19">H20</f>
        <v>290</v>
      </c>
      <c r="I19" s="489">
        <f t="shared" ref="I19" si="20">I20</f>
        <v>-235.70893177737889</v>
      </c>
      <c r="J19" s="489">
        <f t="shared" ref="J19" si="21">J20</f>
        <v>-364.67175493716331</v>
      </c>
      <c r="K19" s="489">
        <f t="shared" ref="K19" si="22">K20</f>
        <v>-235.70893177737889</v>
      </c>
      <c r="L19" s="489">
        <f t="shared" ref="L19" si="23">L20</f>
        <v>-303.46743267504462</v>
      </c>
      <c r="M19" s="489">
        <f t="shared" ref="M19" si="24">M20</f>
        <v>-4.5541786355475722</v>
      </c>
    </row>
    <row r="20" spans="1:14" s="74" customFormat="1" ht="23.25" hidden="1" customHeight="1" x14ac:dyDescent="0.25">
      <c r="A20" s="498">
        <v>1</v>
      </c>
      <c r="B20" s="499" t="s">
        <v>165</v>
      </c>
      <c r="C20" s="500" t="s">
        <v>55</v>
      </c>
      <c r="D20" s="501">
        <f>SUM(E20:M20)</f>
        <v>-1640.9526171046173</v>
      </c>
      <c r="E20" s="501">
        <f>E16-E18</f>
        <v>-258.77338012077644</v>
      </c>
      <c r="F20" s="501">
        <f t="shared" ref="F20:M20" si="25">F16-F18</f>
        <v>-231.15475314183095</v>
      </c>
      <c r="G20" s="501">
        <f t="shared" si="25"/>
        <v>-296.91325403949668</v>
      </c>
      <c r="H20" s="501">
        <f t="shared" si="25"/>
        <v>290</v>
      </c>
      <c r="I20" s="501">
        <f t="shared" si="25"/>
        <v>-235.70893177737889</v>
      </c>
      <c r="J20" s="501">
        <f t="shared" si="25"/>
        <v>-364.67175493716331</v>
      </c>
      <c r="K20" s="501">
        <f t="shared" si="25"/>
        <v>-235.70893177737889</v>
      </c>
      <c r="L20" s="501">
        <f t="shared" si="25"/>
        <v>-303.46743267504462</v>
      </c>
      <c r="M20" s="501">
        <f t="shared" si="25"/>
        <v>-4.5541786355475722</v>
      </c>
      <c r="N20" s="62"/>
    </row>
  </sheetData>
  <mergeCells count="21">
    <mergeCell ref="K1:M1"/>
    <mergeCell ref="Z3:AL3"/>
    <mergeCell ref="CM3:CY3"/>
    <mergeCell ref="CZ3:DL3"/>
    <mergeCell ref="GM3:GY3"/>
    <mergeCell ref="AM3:AY3"/>
    <mergeCell ref="AZ3:BL3"/>
    <mergeCell ref="BM3:BY3"/>
    <mergeCell ref="BZ3:CL3"/>
    <mergeCell ref="A2:M2"/>
    <mergeCell ref="A3:M3"/>
    <mergeCell ref="GZ3:HL3"/>
    <mergeCell ref="HM3:HY3"/>
    <mergeCell ref="FZ3:GL3"/>
    <mergeCell ref="IM3:IU3"/>
    <mergeCell ref="DM3:DY3"/>
    <mergeCell ref="DZ3:EL3"/>
    <mergeCell ref="EM3:EY3"/>
    <mergeCell ref="EZ3:FL3"/>
    <mergeCell ref="FM3:FY3"/>
    <mergeCell ref="HZ3:IL3"/>
  </mergeCells>
  <pageMargins left="0.59055118110236227" right="0.39370078740157483" top="0.59055118110236227" bottom="0.39370078740157483" header="0.31496062992125984" footer="0.31496062992125984"/>
  <pageSetup paperSize="9" scale="78" firstPageNumber="178" fitToHeight="0" orientation="landscape" useFirstPageNumber="1" r:id="rId1"/>
  <headerFooter>
    <oddHeader>&amp;C&amp;P</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V27"/>
  <sheetViews>
    <sheetView view="pageLayout" topLeftCell="A7" zoomScale="70" zoomScaleNormal="100" zoomScalePageLayoutView="70" workbookViewId="0">
      <selection activeCell="K1" sqref="K1:N1"/>
    </sheetView>
  </sheetViews>
  <sheetFormatPr defaultColWidth="9" defaultRowHeight="15.75" x14ac:dyDescent="0.25"/>
  <cols>
    <col min="1" max="1" width="6.375" style="72" customWidth="1"/>
    <col min="2" max="2" width="40" style="74" customWidth="1"/>
    <col min="3" max="3" width="10.75" style="72" customWidth="1"/>
    <col min="4" max="5" width="9.25" style="71" customWidth="1"/>
    <col min="6" max="13" width="9.25" style="72" customWidth="1"/>
    <col min="14" max="14" width="9.25" style="74" customWidth="1"/>
    <col min="15" max="16384" width="9" style="74"/>
  </cols>
  <sheetData>
    <row r="1" spans="1:256" s="27" customFormat="1" ht="30" customHeight="1" x14ac:dyDescent="0.25">
      <c r="A1" s="23"/>
      <c r="B1" s="23"/>
      <c r="C1" s="95"/>
      <c r="D1" s="95"/>
      <c r="E1" s="95"/>
      <c r="F1" s="95"/>
      <c r="G1" s="95"/>
      <c r="H1" s="76"/>
      <c r="I1" s="76"/>
      <c r="J1" s="95"/>
      <c r="K1" s="831" t="s">
        <v>622</v>
      </c>
      <c r="L1" s="831"/>
      <c r="M1" s="831"/>
      <c r="N1" s="831"/>
    </row>
    <row r="2" spans="1:256" s="73" customFormat="1" ht="46.5" customHeight="1" x14ac:dyDescent="0.25">
      <c r="A2" s="840" t="s">
        <v>127</v>
      </c>
      <c r="B2" s="840"/>
      <c r="C2" s="840"/>
      <c r="D2" s="840"/>
      <c r="E2" s="840"/>
      <c r="F2" s="840"/>
      <c r="G2" s="840"/>
      <c r="H2" s="840"/>
      <c r="I2" s="840"/>
      <c r="J2" s="840"/>
      <c r="K2" s="840"/>
      <c r="L2" s="840"/>
      <c r="M2" s="840"/>
      <c r="N2" s="68"/>
    </row>
    <row r="3" spans="1:256" s="18" customFormat="1" ht="21.75" customHeight="1" x14ac:dyDescent="0.25">
      <c r="A3" s="843" t="str">
        <f>'B13-DA8'!A3:M3</f>
        <v>(Kèm theo Báo cáo số:          /BC-UBND ngày          tháng 11 năm 2023 của UBND tỉnh)</v>
      </c>
      <c r="B3" s="844"/>
      <c r="C3" s="844"/>
      <c r="D3" s="844"/>
      <c r="E3" s="844"/>
      <c r="F3" s="844"/>
      <c r="G3" s="844"/>
      <c r="H3" s="844"/>
      <c r="I3" s="844"/>
      <c r="J3" s="844"/>
      <c r="K3" s="844"/>
      <c r="L3" s="844"/>
      <c r="M3" s="844"/>
      <c r="N3" s="844"/>
      <c r="O3" s="840"/>
      <c r="P3" s="840"/>
      <c r="Q3" s="840"/>
      <c r="R3" s="840"/>
      <c r="S3" s="840"/>
      <c r="T3" s="840"/>
      <c r="U3" s="840"/>
      <c r="V3" s="840"/>
      <c r="W3" s="840"/>
      <c r="X3" s="840"/>
      <c r="Y3" s="840"/>
      <c r="Z3" s="840"/>
      <c r="AA3" s="840"/>
      <c r="AB3" s="840"/>
      <c r="AC3" s="840"/>
      <c r="AD3" s="840"/>
      <c r="AE3" s="840"/>
      <c r="AF3" s="840"/>
      <c r="AG3" s="840"/>
      <c r="AH3" s="840"/>
      <c r="AI3" s="840"/>
      <c r="AJ3" s="840"/>
      <c r="AK3" s="840"/>
      <c r="AL3" s="840"/>
      <c r="AM3" s="840"/>
      <c r="AN3" s="840"/>
      <c r="AO3" s="840"/>
      <c r="AP3" s="840"/>
      <c r="AQ3" s="840"/>
      <c r="AR3" s="840"/>
      <c r="AS3" s="840"/>
      <c r="AT3" s="840"/>
      <c r="AU3" s="840"/>
      <c r="AV3" s="840"/>
      <c r="AW3" s="840"/>
      <c r="AX3" s="840"/>
      <c r="AY3" s="840"/>
      <c r="AZ3" s="840"/>
      <c r="BA3" s="840"/>
      <c r="BB3" s="840"/>
      <c r="BC3" s="840"/>
      <c r="BD3" s="840"/>
      <c r="BE3" s="840"/>
      <c r="BF3" s="840"/>
      <c r="BG3" s="840"/>
      <c r="BH3" s="840"/>
      <c r="BI3" s="840"/>
      <c r="BJ3" s="840"/>
      <c r="BK3" s="840"/>
      <c r="BL3" s="840"/>
      <c r="BM3" s="840"/>
      <c r="BN3" s="840"/>
      <c r="BO3" s="840"/>
      <c r="BP3" s="840"/>
      <c r="BQ3" s="840"/>
      <c r="BR3" s="840"/>
      <c r="BS3" s="840"/>
      <c r="BT3" s="840"/>
      <c r="BU3" s="840"/>
      <c r="BV3" s="840"/>
      <c r="BW3" s="840"/>
      <c r="BX3" s="840"/>
      <c r="BY3" s="840"/>
      <c r="BZ3" s="840"/>
      <c r="CA3" s="840"/>
      <c r="CB3" s="840"/>
      <c r="CC3" s="840"/>
      <c r="CD3" s="840"/>
      <c r="CE3" s="840"/>
      <c r="CF3" s="840"/>
      <c r="CG3" s="840"/>
      <c r="CH3" s="840"/>
      <c r="CI3" s="840"/>
      <c r="CJ3" s="840"/>
      <c r="CK3" s="840"/>
      <c r="CL3" s="840"/>
      <c r="CM3" s="840"/>
      <c r="CN3" s="840"/>
      <c r="CO3" s="840"/>
      <c r="CP3" s="840"/>
      <c r="CQ3" s="840"/>
      <c r="CR3" s="840"/>
      <c r="CS3" s="840"/>
      <c r="CT3" s="840"/>
      <c r="CU3" s="840"/>
      <c r="CV3" s="840"/>
      <c r="CW3" s="840"/>
      <c r="CX3" s="840"/>
      <c r="CY3" s="840"/>
      <c r="CZ3" s="840"/>
      <c r="DA3" s="840"/>
      <c r="DB3" s="840"/>
      <c r="DC3" s="840"/>
      <c r="DD3" s="840"/>
      <c r="DE3" s="840"/>
      <c r="DF3" s="840"/>
      <c r="DG3" s="840"/>
      <c r="DH3" s="840"/>
      <c r="DI3" s="840"/>
      <c r="DJ3" s="840"/>
      <c r="DK3" s="840"/>
      <c r="DL3" s="840"/>
      <c r="DM3" s="840"/>
      <c r="DN3" s="840"/>
      <c r="DO3" s="840"/>
      <c r="DP3" s="840"/>
      <c r="DQ3" s="840"/>
      <c r="DR3" s="840"/>
      <c r="DS3" s="840"/>
      <c r="DT3" s="840"/>
      <c r="DU3" s="840"/>
      <c r="DV3" s="840"/>
      <c r="DW3" s="840"/>
      <c r="DX3" s="840"/>
      <c r="DY3" s="840"/>
      <c r="DZ3" s="840"/>
      <c r="EA3" s="840"/>
      <c r="EB3" s="840"/>
      <c r="EC3" s="840"/>
      <c r="ED3" s="840"/>
      <c r="EE3" s="840"/>
      <c r="EF3" s="840"/>
      <c r="EG3" s="840"/>
      <c r="EH3" s="840"/>
      <c r="EI3" s="840"/>
      <c r="EJ3" s="840"/>
      <c r="EK3" s="840"/>
      <c r="EL3" s="840"/>
      <c r="EM3" s="840"/>
      <c r="EN3" s="840"/>
      <c r="EO3" s="840"/>
      <c r="EP3" s="840"/>
      <c r="EQ3" s="840"/>
      <c r="ER3" s="840"/>
      <c r="ES3" s="840"/>
      <c r="ET3" s="840"/>
      <c r="EU3" s="840"/>
      <c r="EV3" s="840"/>
      <c r="EW3" s="840"/>
      <c r="EX3" s="840"/>
      <c r="EY3" s="840"/>
      <c r="EZ3" s="840"/>
      <c r="FA3" s="840"/>
      <c r="FB3" s="840"/>
      <c r="FC3" s="840"/>
      <c r="FD3" s="840"/>
      <c r="FE3" s="840"/>
      <c r="FF3" s="840"/>
      <c r="FG3" s="840"/>
      <c r="FH3" s="840"/>
      <c r="FI3" s="840"/>
      <c r="FJ3" s="840"/>
      <c r="FK3" s="840"/>
      <c r="FL3" s="840"/>
      <c r="FM3" s="840"/>
      <c r="FN3" s="840"/>
      <c r="FO3" s="840"/>
      <c r="FP3" s="840"/>
      <c r="FQ3" s="840"/>
      <c r="FR3" s="840"/>
      <c r="FS3" s="840"/>
      <c r="FT3" s="840"/>
      <c r="FU3" s="840"/>
      <c r="FV3" s="840"/>
      <c r="FW3" s="840"/>
      <c r="FX3" s="840"/>
      <c r="FY3" s="840"/>
      <c r="FZ3" s="840"/>
      <c r="GA3" s="840"/>
      <c r="GB3" s="840"/>
      <c r="GC3" s="840"/>
      <c r="GD3" s="840"/>
      <c r="GE3" s="840"/>
      <c r="GF3" s="840"/>
      <c r="GG3" s="840"/>
      <c r="GH3" s="840"/>
      <c r="GI3" s="840"/>
      <c r="GJ3" s="840"/>
      <c r="GK3" s="840"/>
      <c r="GL3" s="840"/>
      <c r="GM3" s="840"/>
      <c r="GN3" s="840"/>
      <c r="GO3" s="840"/>
      <c r="GP3" s="840"/>
      <c r="GQ3" s="840"/>
      <c r="GR3" s="840"/>
      <c r="GS3" s="840"/>
      <c r="GT3" s="840"/>
      <c r="GU3" s="840"/>
      <c r="GV3" s="840"/>
      <c r="GW3" s="840"/>
      <c r="GX3" s="840"/>
      <c r="GY3" s="840"/>
      <c r="GZ3" s="840"/>
      <c r="HA3" s="840"/>
      <c r="HB3" s="840"/>
      <c r="HC3" s="840"/>
      <c r="HD3" s="840"/>
      <c r="HE3" s="840"/>
      <c r="HF3" s="840"/>
      <c r="HG3" s="840"/>
      <c r="HH3" s="840"/>
      <c r="HI3" s="840"/>
      <c r="HJ3" s="840"/>
      <c r="HK3" s="840"/>
      <c r="HL3" s="840"/>
      <c r="HM3" s="840"/>
      <c r="HN3" s="840"/>
      <c r="HO3" s="840"/>
      <c r="HP3" s="840"/>
      <c r="HQ3" s="840"/>
      <c r="HR3" s="840"/>
      <c r="HS3" s="840"/>
      <c r="HT3" s="840"/>
      <c r="HU3" s="840"/>
      <c r="HV3" s="840"/>
      <c r="HW3" s="840"/>
      <c r="HX3" s="840"/>
      <c r="HY3" s="840"/>
      <c r="HZ3" s="840"/>
      <c r="IA3" s="840"/>
      <c r="IB3" s="840"/>
      <c r="IC3" s="840"/>
      <c r="ID3" s="840"/>
      <c r="IE3" s="840"/>
      <c r="IF3" s="840"/>
      <c r="IG3" s="840"/>
      <c r="IH3" s="840"/>
      <c r="II3" s="840"/>
      <c r="IJ3" s="840"/>
      <c r="IK3" s="840"/>
      <c r="IL3" s="840"/>
      <c r="IM3" s="840"/>
      <c r="IN3" s="840"/>
      <c r="IO3" s="840"/>
      <c r="IP3" s="840"/>
      <c r="IQ3" s="840"/>
      <c r="IR3" s="840"/>
      <c r="IS3" s="840"/>
      <c r="IT3" s="840"/>
      <c r="IU3" s="840"/>
      <c r="IV3" s="840"/>
    </row>
    <row r="4" spans="1:256" s="71" customFormat="1" ht="58.5" customHeight="1" x14ac:dyDescent="0.25">
      <c r="A4" s="69" t="s">
        <v>1</v>
      </c>
      <c r="B4" s="69" t="s">
        <v>35</v>
      </c>
      <c r="C4" s="69" t="s">
        <v>36</v>
      </c>
      <c r="D4" s="69" t="s">
        <v>37</v>
      </c>
      <c r="E4" s="69" t="s">
        <v>129</v>
      </c>
      <c r="F4" s="69" t="s">
        <v>117</v>
      </c>
      <c r="G4" s="69" t="s">
        <v>38</v>
      </c>
      <c r="H4" s="69" t="s">
        <v>39</v>
      </c>
      <c r="I4" s="70" t="s">
        <v>40</v>
      </c>
      <c r="J4" s="70" t="s">
        <v>41</v>
      </c>
      <c r="K4" s="69" t="s">
        <v>42</v>
      </c>
      <c r="L4" s="69" t="s">
        <v>43</v>
      </c>
      <c r="M4" s="69" t="s">
        <v>44</v>
      </c>
      <c r="N4" s="69" t="s">
        <v>45</v>
      </c>
    </row>
    <row r="5" spans="1:256" s="71" customFormat="1" ht="21.75" customHeight="1" x14ac:dyDescent="0.25">
      <c r="A5" s="208" t="s">
        <v>46</v>
      </c>
      <c r="B5" s="209" t="s">
        <v>47</v>
      </c>
      <c r="C5" s="208"/>
      <c r="D5" s="208"/>
      <c r="E5" s="208"/>
      <c r="F5" s="208"/>
      <c r="G5" s="208"/>
      <c r="H5" s="208"/>
      <c r="I5" s="208"/>
      <c r="J5" s="208"/>
      <c r="K5" s="208"/>
      <c r="L5" s="208"/>
      <c r="M5" s="208"/>
      <c r="N5" s="208"/>
    </row>
    <row r="6" spans="1:256" s="71" customFormat="1" ht="33.75" customHeight="1" x14ac:dyDescent="0.25">
      <c r="A6" s="210">
        <v>1</v>
      </c>
      <c r="B6" s="211" t="s">
        <v>124</v>
      </c>
      <c r="C6" s="210" t="s">
        <v>78</v>
      </c>
      <c r="D6" s="212"/>
      <c r="E6" s="213"/>
      <c r="F6" s="213"/>
      <c r="G6" s="212">
        <v>2.0499999999999998</v>
      </c>
      <c r="H6" s="212">
        <v>4.6900000000000004</v>
      </c>
      <c r="I6" s="212">
        <v>7.19</v>
      </c>
      <c r="J6" s="212">
        <v>0</v>
      </c>
      <c r="K6" s="212">
        <v>2.2000000000000002</v>
      </c>
      <c r="L6" s="212">
        <v>8.67</v>
      </c>
      <c r="M6" s="212">
        <v>3.83</v>
      </c>
      <c r="N6" s="212"/>
    </row>
    <row r="7" spans="1:256" s="71" customFormat="1" ht="21.75" customHeight="1" x14ac:dyDescent="0.25">
      <c r="A7" s="210">
        <v>2</v>
      </c>
      <c r="B7" s="214" t="s">
        <v>118</v>
      </c>
      <c r="C7" s="215" t="s">
        <v>70</v>
      </c>
      <c r="D7" s="212">
        <f>SUM(G7:N7)</f>
        <v>66</v>
      </c>
      <c r="E7" s="216"/>
      <c r="F7" s="213"/>
      <c r="G7" s="217">
        <v>8</v>
      </c>
      <c r="H7" s="217">
        <v>8</v>
      </c>
      <c r="I7" s="217">
        <v>9</v>
      </c>
      <c r="J7" s="217">
        <v>8</v>
      </c>
      <c r="K7" s="217">
        <v>13</v>
      </c>
      <c r="L7" s="217">
        <v>10</v>
      </c>
      <c r="M7" s="217">
        <v>10</v>
      </c>
      <c r="N7" s="217">
        <v>0</v>
      </c>
    </row>
    <row r="8" spans="1:256" s="71" customFormat="1" ht="21.75" customHeight="1" x14ac:dyDescent="0.25">
      <c r="A8" s="210">
        <v>3</v>
      </c>
      <c r="B8" s="214" t="s">
        <v>119</v>
      </c>
      <c r="C8" s="215" t="s">
        <v>70</v>
      </c>
      <c r="D8" s="212">
        <f t="shared" ref="D8:D10" si="0">SUM(G8:N8)</f>
        <v>4</v>
      </c>
      <c r="E8" s="216"/>
      <c r="F8" s="213"/>
      <c r="G8" s="217">
        <v>1</v>
      </c>
      <c r="H8" s="217">
        <v>1</v>
      </c>
      <c r="I8" s="217">
        <v>0</v>
      </c>
      <c r="J8" s="217">
        <v>1</v>
      </c>
      <c r="K8" s="217">
        <v>1</v>
      </c>
      <c r="L8" s="217">
        <v>0</v>
      </c>
      <c r="M8" s="217">
        <v>0</v>
      </c>
      <c r="N8" s="217"/>
    </row>
    <row r="9" spans="1:256" s="71" customFormat="1" ht="21.75" customHeight="1" x14ac:dyDescent="0.25">
      <c r="A9" s="210">
        <v>4</v>
      </c>
      <c r="B9" s="214" t="s">
        <v>120</v>
      </c>
      <c r="C9" s="215" t="s">
        <v>70</v>
      </c>
      <c r="D9" s="212">
        <f t="shared" si="0"/>
        <v>38</v>
      </c>
      <c r="E9" s="216"/>
      <c r="F9" s="213"/>
      <c r="G9" s="217">
        <v>5</v>
      </c>
      <c r="H9" s="217">
        <v>11</v>
      </c>
      <c r="I9" s="217">
        <v>1</v>
      </c>
      <c r="J9" s="217">
        <v>5</v>
      </c>
      <c r="K9" s="217">
        <v>3</v>
      </c>
      <c r="L9" s="217">
        <v>0</v>
      </c>
      <c r="M9" s="217">
        <v>5</v>
      </c>
      <c r="N9" s="217">
        <v>8</v>
      </c>
    </row>
    <row r="10" spans="1:256" ht="36.75" customHeight="1" x14ac:dyDescent="0.25">
      <c r="A10" s="210">
        <v>6</v>
      </c>
      <c r="B10" s="211" t="s">
        <v>125</v>
      </c>
      <c r="C10" s="210" t="s">
        <v>126</v>
      </c>
      <c r="D10" s="212">
        <f t="shared" si="0"/>
        <v>14</v>
      </c>
      <c r="E10" s="213"/>
      <c r="F10" s="212"/>
      <c r="G10" s="212">
        <v>2</v>
      </c>
      <c r="H10" s="212">
        <v>3</v>
      </c>
      <c r="I10" s="212">
        <v>2</v>
      </c>
      <c r="J10" s="212">
        <v>0</v>
      </c>
      <c r="K10" s="212">
        <v>2</v>
      </c>
      <c r="L10" s="212">
        <v>3</v>
      </c>
      <c r="M10" s="212">
        <v>2</v>
      </c>
      <c r="N10" s="212">
        <v>0</v>
      </c>
    </row>
    <row r="11" spans="1:256" s="75" customFormat="1" ht="21.75" customHeight="1" x14ac:dyDescent="0.25">
      <c r="A11" s="202" t="s">
        <v>31</v>
      </c>
      <c r="B11" s="203" t="s">
        <v>79</v>
      </c>
      <c r="C11" s="218" t="s">
        <v>128</v>
      </c>
      <c r="D11" s="213">
        <f>SUM(D12:D16)</f>
        <v>413.15</v>
      </c>
      <c r="E11" s="213"/>
      <c r="F11" s="213"/>
      <c r="G11" s="213">
        <f>SUM(G12:G16)</f>
        <v>44.75</v>
      </c>
      <c r="H11" s="213">
        <f t="shared" ref="H11:N11" si="1">SUM(H12:H16)</f>
        <v>65.95</v>
      </c>
      <c r="I11" s="213">
        <f t="shared" si="1"/>
        <v>67.95</v>
      </c>
      <c r="J11" s="213">
        <f t="shared" si="1"/>
        <v>30.5</v>
      </c>
      <c r="K11" s="213">
        <f t="shared" si="1"/>
        <v>58.5</v>
      </c>
      <c r="L11" s="213">
        <f t="shared" si="1"/>
        <v>79.349999999999994</v>
      </c>
      <c r="M11" s="213">
        <f t="shared" si="1"/>
        <v>58.15</v>
      </c>
      <c r="N11" s="213">
        <f t="shared" si="1"/>
        <v>8</v>
      </c>
    </row>
    <row r="12" spans="1:256" ht="21.75" customHeight="1" x14ac:dyDescent="0.25">
      <c r="A12" s="210">
        <v>1</v>
      </c>
      <c r="B12" s="211" t="s">
        <v>124</v>
      </c>
      <c r="C12" s="210">
        <v>5</v>
      </c>
      <c r="D12" s="212">
        <f>SUM(G12:N12)</f>
        <v>143.15</v>
      </c>
      <c r="E12" s="213"/>
      <c r="F12" s="212"/>
      <c r="G12" s="212">
        <f>G6*$C$12</f>
        <v>10.25</v>
      </c>
      <c r="H12" s="212">
        <f t="shared" ref="H12:N12" si="2">H6*$C$12</f>
        <v>23.450000000000003</v>
      </c>
      <c r="I12" s="212">
        <f t="shared" si="2"/>
        <v>35.950000000000003</v>
      </c>
      <c r="J12" s="212">
        <f t="shared" si="2"/>
        <v>0</v>
      </c>
      <c r="K12" s="212">
        <f t="shared" si="2"/>
        <v>11</v>
      </c>
      <c r="L12" s="212">
        <f t="shared" si="2"/>
        <v>43.35</v>
      </c>
      <c r="M12" s="212">
        <f t="shared" si="2"/>
        <v>19.149999999999999</v>
      </c>
      <c r="N12" s="212">
        <f t="shared" si="2"/>
        <v>0</v>
      </c>
    </row>
    <row r="13" spans="1:256" ht="21.75" customHeight="1" x14ac:dyDescent="0.25">
      <c r="A13" s="210">
        <v>2</v>
      </c>
      <c r="B13" s="214" t="s">
        <v>118</v>
      </c>
      <c r="C13" s="210">
        <v>3</v>
      </c>
      <c r="D13" s="212">
        <f t="shared" ref="D13:D16" si="3">SUM(G13:N13)</f>
        <v>198</v>
      </c>
      <c r="E13" s="213"/>
      <c r="F13" s="212"/>
      <c r="G13" s="212">
        <f>G7*$C$13</f>
        <v>24</v>
      </c>
      <c r="H13" s="212">
        <f t="shared" ref="H13:N13" si="4">H7*$C$13</f>
        <v>24</v>
      </c>
      <c r="I13" s="212">
        <f t="shared" si="4"/>
        <v>27</v>
      </c>
      <c r="J13" s="212">
        <f t="shared" si="4"/>
        <v>24</v>
      </c>
      <c r="K13" s="212">
        <f t="shared" si="4"/>
        <v>39</v>
      </c>
      <c r="L13" s="212">
        <f t="shared" si="4"/>
        <v>30</v>
      </c>
      <c r="M13" s="212">
        <f t="shared" si="4"/>
        <v>30</v>
      </c>
      <c r="N13" s="212">
        <f t="shared" si="4"/>
        <v>0</v>
      </c>
    </row>
    <row r="14" spans="1:256" ht="21.75" customHeight="1" x14ac:dyDescent="0.25">
      <c r="A14" s="210">
        <v>3</v>
      </c>
      <c r="B14" s="214" t="s">
        <v>119</v>
      </c>
      <c r="C14" s="210">
        <v>1.5</v>
      </c>
      <c r="D14" s="212">
        <f t="shared" si="3"/>
        <v>6</v>
      </c>
      <c r="E14" s="213"/>
      <c r="F14" s="212"/>
      <c r="G14" s="212">
        <f>G8*$C$14</f>
        <v>1.5</v>
      </c>
      <c r="H14" s="212">
        <f t="shared" ref="H14:N14" si="5">H8*$C$14</f>
        <v>1.5</v>
      </c>
      <c r="I14" s="212">
        <f t="shared" si="5"/>
        <v>0</v>
      </c>
      <c r="J14" s="212">
        <f t="shared" si="5"/>
        <v>1.5</v>
      </c>
      <c r="K14" s="212">
        <f t="shared" si="5"/>
        <v>1.5</v>
      </c>
      <c r="L14" s="212">
        <f t="shared" si="5"/>
        <v>0</v>
      </c>
      <c r="M14" s="212">
        <f t="shared" si="5"/>
        <v>0</v>
      </c>
      <c r="N14" s="212">
        <f t="shared" si="5"/>
        <v>0</v>
      </c>
    </row>
    <row r="15" spans="1:256" ht="21.75" customHeight="1" x14ac:dyDescent="0.25">
      <c r="A15" s="210">
        <v>4</v>
      </c>
      <c r="B15" s="214" t="s">
        <v>120</v>
      </c>
      <c r="C15" s="210">
        <v>1</v>
      </c>
      <c r="D15" s="212">
        <f t="shared" si="3"/>
        <v>38</v>
      </c>
      <c r="E15" s="213"/>
      <c r="F15" s="212"/>
      <c r="G15" s="212">
        <f>G9*$C$15</f>
        <v>5</v>
      </c>
      <c r="H15" s="212">
        <f t="shared" ref="H15:N15" si="6">H9*$C$15</f>
        <v>11</v>
      </c>
      <c r="I15" s="212">
        <f t="shared" si="6"/>
        <v>1</v>
      </c>
      <c r="J15" s="212">
        <f t="shared" si="6"/>
        <v>5</v>
      </c>
      <c r="K15" s="212">
        <f t="shared" si="6"/>
        <v>3</v>
      </c>
      <c r="L15" s="212">
        <f t="shared" si="6"/>
        <v>0</v>
      </c>
      <c r="M15" s="212">
        <f t="shared" si="6"/>
        <v>5</v>
      </c>
      <c r="N15" s="212">
        <f t="shared" si="6"/>
        <v>8</v>
      </c>
    </row>
    <row r="16" spans="1:256" ht="36.75" customHeight="1" x14ac:dyDescent="0.25">
      <c r="A16" s="210">
        <v>6</v>
      </c>
      <c r="B16" s="211" t="s">
        <v>125</v>
      </c>
      <c r="C16" s="210">
        <v>2</v>
      </c>
      <c r="D16" s="212">
        <f t="shared" si="3"/>
        <v>28</v>
      </c>
      <c r="E16" s="213"/>
      <c r="F16" s="212"/>
      <c r="G16" s="212">
        <f>G10*$C$16</f>
        <v>4</v>
      </c>
      <c r="H16" s="212">
        <f t="shared" ref="H16:N16" si="7">H10*$C$16</f>
        <v>6</v>
      </c>
      <c r="I16" s="212">
        <f t="shared" si="7"/>
        <v>4</v>
      </c>
      <c r="J16" s="212">
        <f t="shared" si="7"/>
        <v>0</v>
      </c>
      <c r="K16" s="212">
        <f t="shared" si="7"/>
        <v>4</v>
      </c>
      <c r="L16" s="212">
        <f t="shared" si="7"/>
        <v>6</v>
      </c>
      <c r="M16" s="212">
        <f t="shared" si="7"/>
        <v>4</v>
      </c>
      <c r="N16" s="212">
        <f t="shared" si="7"/>
        <v>0</v>
      </c>
    </row>
    <row r="17" spans="1:14" s="75" customFormat="1" ht="21.75" customHeight="1" x14ac:dyDescent="0.25">
      <c r="A17" s="205" t="s">
        <v>54</v>
      </c>
      <c r="B17" s="203" t="s">
        <v>583</v>
      </c>
      <c r="C17" s="200"/>
      <c r="D17" s="213">
        <v>3955</v>
      </c>
      <c r="E17" s="213">
        <f>E18</f>
        <v>475</v>
      </c>
      <c r="F17" s="213">
        <f t="shared" ref="F17:N17" si="8">F18</f>
        <v>316</v>
      </c>
      <c r="G17" s="213">
        <f t="shared" si="8"/>
        <v>343</v>
      </c>
      <c r="H17" s="213">
        <f t="shared" si="8"/>
        <v>505</v>
      </c>
      <c r="I17" s="213">
        <f t="shared" si="8"/>
        <v>520</v>
      </c>
      <c r="J17" s="213">
        <f t="shared" si="8"/>
        <v>234</v>
      </c>
      <c r="K17" s="213">
        <f t="shared" si="8"/>
        <v>448</v>
      </c>
      <c r="L17" s="213">
        <f t="shared" si="8"/>
        <v>608</v>
      </c>
      <c r="M17" s="213">
        <f t="shared" si="8"/>
        <v>445</v>
      </c>
      <c r="N17" s="213">
        <f t="shared" si="8"/>
        <v>61</v>
      </c>
    </row>
    <row r="18" spans="1:14" s="72" customFormat="1" ht="21.75" customHeight="1" x14ac:dyDescent="0.25">
      <c r="A18" s="210">
        <v>1</v>
      </c>
      <c r="B18" s="214" t="s">
        <v>166</v>
      </c>
      <c r="C18" s="200" t="s">
        <v>55</v>
      </c>
      <c r="D18" s="212">
        <f>SUM(E18:N18)</f>
        <v>3955</v>
      </c>
      <c r="E18" s="217">
        <f>ROUND(D17*12%,0)</f>
        <v>475</v>
      </c>
      <c r="F18" s="212">
        <f>ROUND(D17*8%,0)</f>
        <v>316</v>
      </c>
      <c r="G18" s="217">
        <f>ROUND(($D$17-$E$18-$F$18)/$D$11*G11,0)</f>
        <v>343</v>
      </c>
      <c r="H18" s="217">
        <f t="shared" ref="H18:N18" si="9">ROUND(($D$17-$E$18-$F$18)/$D$11*H11,0)</f>
        <v>505</v>
      </c>
      <c r="I18" s="217">
        <f t="shared" si="9"/>
        <v>520</v>
      </c>
      <c r="J18" s="217">
        <f t="shared" si="9"/>
        <v>234</v>
      </c>
      <c r="K18" s="217">
        <f t="shared" si="9"/>
        <v>448</v>
      </c>
      <c r="L18" s="217">
        <f t="shared" si="9"/>
        <v>608</v>
      </c>
      <c r="M18" s="217">
        <f t="shared" si="9"/>
        <v>445</v>
      </c>
      <c r="N18" s="217">
        <f t="shared" si="9"/>
        <v>61</v>
      </c>
    </row>
    <row r="19" spans="1:14" s="75" customFormat="1" ht="21.75" customHeight="1" x14ac:dyDescent="0.25">
      <c r="A19" s="205" t="s">
        <v>56</v>
      </c>
      <c r="B19" s="203" t="s">
        <v>260</v>
      </c>
      <c r="C19" s="200"/>
      <c r="D19" s="213">
        <f>D20</f>
        <v>197</v>
      </c>
      <c r="E19" s="213">
        <f>E20</f>
        <v>24</v>
      </c>
      <c r="F19" s="213">
        <f t="shared" ref="F19:N19" si="10">F20</f>
        <v>16</v>
      </c>
      <c r="G19" s="213">
        <f t="shared" si="10"/>
        <v>17</v>
      </c>
      <c r="H19" s="213">
        <f t="shared" si="10"/>
        <v>25</v>
      </c>
      <c r="I19" s="213">
        <f t="shared" si="10"/>
        <v>26</v>
      </c>
      <c r="J19" s="213">
        <f t="shared" si="10"/>
        <v>12</v>
      </c>
      <c r="K19" s="213">
        <f t="shared" si="10"/>
        <v>22</v>
      </c>
      <c r="L19" s="213">
        <f t="shared" si="10"/>
        <v>30</v>
      </c>
      <c r="M19" s="213">
        <f t="shared" si="10"/>
        <v>22</v>
      </c>
      <c r="N19" s="213">
        <f t="shared" si="10"/>
        <v>3</v>
      </c>
    </row>
    <row r="20" spans="1:14" s="72" customFormat="1" ht="21.75" customHeight="1" x14ac:dyDescent="0.25">
      <c r="A20" s="210">
        <v>1</v>
      </c>
      <c r="B20" s="214" t="s">
        <v>166</v>
      </c>
      <c r="C20" s="200" t="s">
        <v>55</v>
      </c>
      <c r="D20" s="212">
        <f>SUM(E20:N20)</f>
        <v>197</v>
      </c>
      <c r="E20" s="217">
        <f>ROUND(E18*5%,0)</f>
        <v>24</v>
      </c>
      <c r="F20" s="217">
        <f t="shared" ref="F20:N20" si="11">ROUND(F18*5%,0)</f>
        <v>16</v>
      </c>
      <c r="G20" s="217">
        <f t="shared" si="11"/>
        <v>17</v>
      </c>
      <c r="H20" s="217">
        <f t="shared" si="11"/>
        <v>25</v>
      </c>
      <c r="I20" s="217">
        <f t="shared" si="11"/>
        <v>26</v>
      </c>
      <c r="J20" s="217">
        <f t="shared" si="11"/>
        <v>12</v>
      </c>
      <c r="K20" s="217">
        <f t="shared" si="11"/>
        <v>22</v>
      </c>
      <c r="L20" s="217">
        <f t="shared" si="11"/>
        <v>30</v>
      </c>
      <c r="M20" s="217">
        <f t="shared" si="11"/>
        <v>22</v>
      </c>
      <c r="N20" s="217">
        <f t="shared" si="11"/>
        <v>3</v>
      </c>
    </row>
    <row r="21" spans="1:14" s="75" customFormat="1" ht="21.75" customHeight="1" x14ac:dyDescent="0.25">
      <c r="A21" s="205" t="s">
        <v>57</v>
      </c>
      <c r="B21" s="203" t="s">
        <v>261</v>
      </c>
      <c r="C21" s="200"/>
      <c r="D21" s="213">
        <f>D22</f>
        <v>4152</v>
      </c>
      <c r="E21" s="213">
        <f>E22</f>
        <v>499</v>
      </c>
      <c r="F21" s="213">
        <f t="shared" ref="F21:N21" si="12">F22</f>
        <v>332</v>
      </c>
      <c r="G21" s="213">
        <f t="shared" si="12"/>
        <v>360</v>
      </c>
      <c r="H21" s="213">
        <f t="shared" si="12"/>
        <v>530</v>
      </c>
      <c r="I21" s="213">
        <f t="shared" si="12"/>
        <v>546</v>
      </c>
      <c r="J21" s="213">
        <f t="shared" si="12"/>
        <v>246</v>
      </c>
      <c r="K21" s="213">
        <f t="shared" si="12"/>
        <v>470</v>
      </c>
      <c r="L21" s="213">
        <f t="shared" si="12"/>
        <v>638</v>
      </c>
      <c r="M21" s="213">
        <f t="shared" si="12"/>
        <v>467</v>
      </c>
      <c r="N21" s="213">
        <f t="shared" si="12"/>
        <v>64</v>
      </c>
    </row>
    <row r="22" spans="1:14" s="72" customFormat="1" ht="21.75" customHeight="1" x14ac:dyDescent="0.25">
      <c r="A22" s="606">
        <v>1</v>
      </c>
      <c r="B22" s="607" t="s">
        <v>166</v>
      </c>
      <c r="C22" s="608" t="s">
        <v>55</v>
      </c>
      <c r="D22" s="609">
        <f>SUM(E22:N22)</f>
        <v>4152</v>
      </c>
      <c r="E22" s="609">
        <f>E18+E20</f>
        <v>499</v>
      </c>
      <c r="F22" s="609">
        <f t="shared" ref="F22:N22" si="13">F18+F20</f>
        <v>332</v>
      </c>
      <c r="G22" s="609">
        <f t="shared" si="13"/>
        <v>360</v>
      </c>
      <c r="H22" s="609">
        <f t="shared" si="13"/>
        <v>530</v>
      </c>
      <c r="I22" s="609">
        <f t="shared" si="13"/>
        <v>546</v>
      </c>
      <c r="J22" s="609">
        <f t="shared" si="13"/>
        <v>246</v>
      </c>
      <c r="K22" s="609">
        <f t="shared" si="13"/>
        <v>470</v>
      </c>
      <c r="L22" s="609">
        <f t="shared" si="13"/>
        <v>638</v>
      </c>
      <c r="M22" s="609">
        <f t="shared" si="13"/>
        <v>467</v>
      </c>
      <c r="N22" s="609">
        <f t="shared" si="13"/>
        <v>64</v>
      </c>
    </row>
    <row r="23" spans="1:14" s="75" customFormat="1" ht="36.75" hidden="1" customHeight="1" x14ac:dyDescent="0.25">
      <c r="A23" s="599" t="s">
        <v>478</v>
      </c>
      <c r="B23" s="600" t="s">
        <v>573</v>
      </c>
      <c r="C23" s="604"/>
      <c r="D23" s="605">
        <f>D24</f>
        <v>4465.1808706454131</v>
      </c>
      <c r="E23" s="605">
        <f>E24</f>
        <v>535.82170447745</v>
      </c>
      <c r="F23" s="605">
        <f t="shared" ref="F23" si="14">F24</f>
        <v>357.21446965163307</v>
      </c>
      <c r="G23" s="605">
        <f t="shared" ref="G23" si="15">G24</f>
        <v>386.91389366841537</v>
      </c>
      <c r="H23" s="605">
        <f t="shared" ref="H23" si="16">H24</f>
        <v>570.21164888116186</v>
      </c>
      <c r="I23" s="605">
        <f t="shared" ref="I23" si="17">I24</f>
        <v>587.50388993896809</v>
      </c>
      <c r="J23" s="605">
        <f t="shared" ref="J23" si="18">J24</f>
        <v>263.70667613154563</v>
      </c>
      <c r="K23" s="605">
        <f t="shared" ref="K23" si="19">K24</f>
        <v>505.79805094083349</v>
      </c>
      <c r="L23" s="605">
        <f t="shared" ref="L23" si="20">L24</f>
        <v>686.06966396846383</v>
      </c>
      <c r="M23" s="605">
        <f t="shared" ref="M23" si="21">M24</f>
        <v>502.77190875571739</v>
      </c>
      <c r="N23" s="605">
        <f t="shared" ref="N23" si="22">N24</f>
        <v>69.16896423122509</v>
      </c>
    </row>
    <row r="24" spans="1:14" s="72" customFormat="1" ht="21.75" hidden="1" customHeight="1" x14ac:dyDescent="0.25">
      <c r="A24" s="506">
        <v>1</v>
      </c>
      <c r="B24" s="507" t="s">
        <v>166</v>
      </c>
      <c r="C24" s="496" t="s">
        <v>55</v>
      </c>
      <c r="D24" s="508">
        <f>SUM(E24:N24)</f>
        <v>4465.1808706454131</v>
      </c>
      <c r="E24" s="508">
        <v>535.82170447745</v>
      </c>
      <c r="F24" s="508">
        <v>357.21446965163307</v>
      </c>
      <c r="G24" s="508">
        <v>386.91389366841537</v>
      </c>
      <c r="H24" s="508">
        <v>570.21164888116186</v>
      </c>
      <c r="I24" s="508">
        <v>587.50388993896809</v>
      </c>
      <c r="J24" s="508">
        <v>263.70667613154563</v>
      </c>
      <c r="K24" s="508">
        <v>505.79805094083349</v>
      </c>
      <c r="L24" s="508">
        <v>686.06966396846383</v>
      </c>
      <c r="M24" s="508">
        <v>502.77190875571739</v>
      </c>
      <c r="N24" s="508">
        <v>69.16896423122509</v>
      </c>
    </row>
    <row r="25" spans="1:14" s="75" customFormat="1" ht="36.75" hidden="1" customHeight="1" x14ac:dyDescent="0.25">
      <c r="A25" s="491" t="s">
        <v>497</v>
      </c>
      <c r="B25" s="492" t="s">
        <v>571</v>
      </c>
      <c r="C25" s="496"/>
      <c r="D25" s="505">
        <f>D26</f>
        <v>-313.18087064541385</v>
      </c>
      <c r="E25" s="505">
        <f>E26</f>
        <v>-36.821704477449998</v>
      </c>
      <c r="F25" s="505">
        <f t="shared" ref="F25" si="23">F26</f>
        <v>-25.214469651633067</v>
      </c>
      <c r="G25" s="505">
        <f t="shared" ref="G25" si="24">G26</f>
        <v>-26.913893668415369</v>
      </c>
      <c r="H25" s="505">
        <f t="shared" ref="H25" si="25">H26</f>
        <v>-40.211648881161864</v>
      </c>
      <c r="I25" s="505">
        <f t="shared" ref="I25" si="26">I26</f>
        <v>-41.503889938968086</v>
      </c>
      <c r="J25" s="505">
        <f t="shared" ref="J25" si="27">J26</f>
        <v>-17.706676131545635</v>
      </c>
      <c r="K25" s="505">
        <f t="shared" ref="K25" si="28">K26</f>
        <v>-35.798050940833491</v>
      </c>
      <c r="L25" s="505">
        <f t="shared" ref="L25" si="29">L26</f>
        <v>-48.069663968463828</v>
      </c>
      <c r="M25" s="505">
        <f t="shared" ref="M25" si="30">M26</f>
        <v>-35.771908755717391</v>
      </c>
      <c r="N25" s="505">
        <f t="shared" ref="N25" si="31">N26</f>
        <v>-5.1689642312250896</v>
      </c>
    </row>
    <row r="26" spans="1:14" s="72" customFormat="1" ht="21.75" hidden="1" customHeight="1" x14ac:dyDescent="0.25">
      <c r="A26" s="502">
        <v>1</v>
      </c>
      <c r="B26" s="503" t="s">
        <v>166</v>
      </c>
      <c r="C26" s="500" t="s">
        <v>55</v>
      </c>
      <c r="D26" s="504">
        <f>SUM(E26:N26)</f>
        <v>-313.18087064541385</v>
      </c>
      <c r="E26" s="504">
        <f>E22-E24</f>
        <v>-36.821704477449998</v>
      </c>
      <c r="F26" s="504">
        <f t="shared" ref="F26:N26" si="32">F22-F24</f>
        <v>-25.214469651633067</v>
      </c>
      <c r="G26" s="504">
        <f t="shared" si="32"/>
        <v>-26.913893668415369</v>
      </c>
      <c r="H26" s="504">
        <f t="shared" si="32"/>
        <v>-40.211648881161864</v>
      </c>
      <c r="I26" s="504">
        <f t="shared" si="32"/>
        <v>-41.503889938968086</v>
      </c>
      <c r="J26" s="504">
        <f t="shared" si="32"/>
        <v>-17.706676131545635</v>
      </c>
      <c r="K26" s="504">
        <f t="shared" si="32"/>
        <v>-35.798050940833491</v>
      </c>
      <c r="L26" s="504">
        <f t="shared" si="32"/>
        <v>-48.069663968463828</v>
      </c>
      <c r="M26" s="504">
        <f t="shared" si="32"/>
        <v>-35.771908755717391</v>
      </c>
      <c r="N26" s="504">
        <f t="shared" si="32"/>
        <v>-5.1689642312250896</v>
      </c>
    </row>
    <row r="27" spans="1:14" x14ac:dyDescent="0.25">
      <c r="F27" s="71"/>
      <c r="G27" s="71"/>
      <c r="H27" s="71"/>
      <c r="I27" s="71"/>
      <c r="J27" s="71"/>
      <c r="K27" s="71"/>
      <c r="L27" s="71"/>
      <c r="M27" s="71"/>
      <c r="N27" s="71"/>
    </row>
  </sheetData>
  <mergeCells count="22">
    <mergeCell ref="HN3:HZ3"/>
    <mergeCell ref="IA3:IM3"/>
    <mergeCell ref="IN3:IV3"/>
    <mergeCell ref="FN3:FZ3"/>
    <mergeCell ref="GA3:GM3"/>
    <mergeCell ref="GN3:GZ3"/>
    <mergeCell ref="HA3:HM3"/>
    <mergeCell ref="K1:N1"/>
    <mergeCell ref="FA3:FM3"/>
    <mergeCell ref="BN3:BZ3"/>
    <mergeCell ref="CA3:CM3"/>
    <mergeCell ref="AN3:AZ3"/>
    <mergeCell ref="BA3:BM3"/>
    <mergeCell ref="DN3:DZ3"/>
    <mergeCell ref="EA3:EM3"/>
    <mergeCell ref="CN3:CZ3"/>
    <mergeCell ref="DA3:DM3"/>
    <mergeCell ref="EN3:EZ3"/>
    <mergeCell ref="O3:Z3"/>
    <mergeCell ref="AA3:AM3"/>
    <mergeCell ref="A2:M2"/>
    <mergeCell ref="A3:N3"/>
  </mergeCells>
  <pageMargins left="0.59055118110236227" right="0.39370078740157483" top="0.59055118110236227" bottom="0.39370078740157483" header="0.31496062992125984" footer="0.31496062992125984"/>
  <pageSetup paperSize="9" scale="79" firstPageNumber="179" fitToHeight="0" orientation="landscape" useFirstPageNumber="1" r:id="rId1"/>
  <headerFooter>
    <oddHeader>&amp;C&amp;P</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U25"/>
  <sheetViews>
    <sheetView view="pageLayout" topLeftCell="A4" zoomScale="70" zoomScaleNormal="85" zoomScalePageLayoutView="70" workbookViewId="0">
      <selection activeCell="A2" sqref="A2:N2"/>
    </sheetView>
  </sheetViews>
  <sheetFormatPr defaultColWidth="7.75" defaultRowHeight="15.75" x14ac:dyDescent="0.25"/>
  <cols>
    <col min="1" max="1" width="6.75" style="90" customWidth="1"/>
    <col min="2" max="2" width="41.125" style="90" customWidth="1"/>
    <col min="3" max="3" width="11.75" style="90" customWidth="1"/>
    <col min="4" max="14" width="9.75" style="90" customWidth="1"/>
    <col min="15" max="15" width="11.375" style="90" customWidth="1"/>
    <col min="16" max="16384" width="7.75" style="90"/>
  </cols>
  <sheetData>
    <row r="1" spans="1:255" ht="31.5" customHeight="1" x14ac:dyDescent="0.25">
      <c r="A1" s="616"/>
      <c r="B1" s="616"/>
      <c r="C1" s="616"/>
      <c r="D1" s="616"/>
      <c r="E1" s="616"/>
      <c r="F1" s="616"/>
      <c r="G1" s="616"/>
      <c r="H1" s="616"/>
      <c r="I1" s="616"/>
      <c r="J1" s="616"/>
      <c r="K1" s="831" t="s">
        <v>623</v>
      </c>
      <c r="L1" s="841"/>
      <c r="M1" s="841"/>
      <c r="N1" s="841"/>
    </row>
    <row r="2" spans="1:255" s="13" customFormat="1" ht="61.5" customHeight="1" x14ac:dyDescent="0.25">
      <c r="A2" s="846" t="s">
        <v>132</v>
      </c>
      <c r="B2" s="846"/>
      <c r="C2" s="846"/>
      <c r="D2" s="846"/>
      <c r="E2" s="846"/>
      <c r="F2" s="846"/>
      <c r="G2" s="846"/>
      <c r="H2" s="846"/>
      <c r="I2" s="846"/>
      <c r="J2" s="846"/>
      <c r="K2" s="846"/>
      <c r="L2" s="846"/>
      <c r="M2" s="846"/>
      <c r="N2" s="846"/>
    </row>
    <row r="3" spans="1:255" s="16" customFormat="1" ht="31.5" customHeight="1" x14ac:dyDescent="0.25">
      <c r="A3" s="847" t="str">
        <f>'B14-TDA2,DA9'!A3:N3</f>
        <v>(Kèm theo Báo cáo số:          /BC-UBND ngày          tháng 11 năm 2023 của UBND tỉnh)</v>
      </c>
      <c r="B3" s="848"/>
      <c r="C3" s="848"/>
      <c r="D3" s="848"/>
      <c r="E3" s="848"/>
      <c r="F3" s="848"/>
      <c r="G3" s="848"/>
      <c r="H3" s="848"/>
      <c r="I3" s="848"/>
      <c r="J3" s="848"/>
      <c r="K3" s="848"/>
      <c r="L3" s="848"/>
      <c r="M3" s="848"/>
      <c r="N3" s="848"/>
      <c r="O3" s="845"/>
      <c r="P3" s="845"/>
      <c r="Q3" s="845"/>
      <c r="R3" s="845"/>
      <c r="S3" s="845"/>
      <c r="T3" s="845"/>
      <c r="U3" s="845"/>
      <c r="V3" s="845"/>
      <c r="W3" s="845"/>
      <c r="X3" s="845"/>
      <c r="Y3" s="845"/>
      <c r="Z3" s="845"/>
      <c r="AA3" s="845"/>
      <c r="AB3" s="845"/>
      <c r="AC3" s="845"/>
      <c r="AD3" s="845"/>
      <c r="AE3" s="845"/>
      <c r="AF3" s="845"/>
      <c r="AG3" s="845"/>
      <c r="AH3" s="845"/>
      <c r="AI3" s="845"/>
      <c r="AJ3" s="845"/>
      <c r="AK3" s="845"/>
      <c r="AL3" s="845"/>
      <c r="AM3" s="845"/>
      <c r="AN3" s="845"/>
      <c r="AO3" s="845"/>
      <c r="AP3" s="845"/>
      <c r="AQ3" s="845"/>
      <c r="AR3" s="845"/>
      <c r="AS3" s="845"/>
      <c r="AT3" s="845"/>
      <c r="AU3" s="845"/>
      <c r="AV3" s="845"/>
      <c r="AW3" s="845"/>
      <c r="AX3" s="845"/>
      <c r="AY3" s="845"/>
      <c r="AZ3" s="845"/>
      <c r="BA3" s="845"/>
      <c r="BB3" s="845"/>
      <c r="BC3" s="845"/>
      <c r="BD3" s="845"/>
      <c r="BE3" s="845"/>
      <c r="BF3" s="845"/>
      <c r="BG3" s="845"/>
      <c r="BH3" s="845"/>
      <c r="BI3" s="845"/>
      <c r="BJ3" s="845"/>
      <c r="BK3" s="845"/>
      <c r="BL3" s="845"/>
      <c r="BM3" s="845"/>
      <c r="BN3" s="845"/>
      <c r="BO3" s="845"/>
      <c r="BP3" s="845"/>
      <c r="BQ3" s="845"/>
      <c r="BR3" s="845"/>
      <c r="BS3" s="845"/>
      <c r="BT3" s="845"/>
      <c r="BU3" s="845"/>
      <c r="BV3" s="845"/>
      <c r="BW3" s="845"/>
      <c r="BX3" s="845"/>
      <c r="BY3" s="845"/>
      <c r="BZ3" s="845"/>
      <c r="CA3" s="845"/>
      <c r="CB3" s="845"/>
      <c r="CC3" s="845"/>
      <c r="CD3" s="845"/>
      <c r="CE3" s="845"/>
      <c r="CF3" s="845"/>
      <c r="CG3" s="845"/>
      <c r="CH3" s="845"/>
      <c r="CI3" s="845"/>
      <c r="CJ3" s="845"/>
      <c r="CK3" s="845"/>
      <c r="CL3" s="845"/>
      <c r="CM3" s="845"/>
      <c r="CN3" s="845"/>
      <c r="CO3" s="845"/>
      <c r="CP3" s="845"/>
      <c r="CQ3" s="845"/>
      <c r="CR3" s="845"/>
      <c r="CS3" s="845"/>
      <c r="CT3" s="845"/>
      <c r="CU3" s="845"/>
      <c r="CV3" s="845"/>
      <c r="CW3" s="845"/>
      <c r="CX3" s="845"/>
      <c r="CY3" s="845"/>
      <c r="CZ3" s="845"/>
      <c r="DA3" s="845"/>
      <c r="DB3" s="845"/>
      <c r="DC3" s="845"/>
      <c r="DD3" s="845"/>
      <c r="DE3" s="845"/>
      <c r="DF3" s="845"/>
      <c r="DG3" s="845"/>
      <c r="DH3" s="845"/>
      <c r="DI3" s="845"/>
      <c r="DJ3" s="845"/>
      <c r="DK3" s="845"/>
      <c r="DL3" s="845"/>
      <c r="DM3" s="845"/>
      <c r="DN3" s="845"/>
      <c r="DO3" s="845"/>
      <c r="DP3" s="845"/>
      <c r="DQ3" s="845"/>
      <c r="DR3" s="845"/>
      <c r="DS3" s="845"/>
      <c r="DT3" s="845"/>
      <c r="DU3" s="845"/>
      <c r="DV3" s="845"/>
      <c r="DW3" s="845"/>
      <c r="DX3" s="845"/>
      <c r="DY3" s="845"/>
      <c r="DZ3" s="845"/>
      <c r="EA3" s="845"/>
      <c r="EB3" s="845"/>
      <c r="EC3" s="845"/>
      <c r="ED3" s="845"/>
      <c r="EE3" s="845"/>
      <c r="EF3" s="845"/>
      <c r="EG3" s="845"/>
      <c r="EH3" s="845"/>
      <c r="EI3" s="845"/>
      <c r="EJ3" s="845"/>
      <c r="EK3" s="845"/>
      <c r="EL3" s="845"/>
      <c r="EM3" s="845"/>
      <c r="EN3" s="845"/>
      <c r="EO3" s="845"/>
      <c r="EP3" s="845"/>
      <c r="EQ3" s="845"/>
      <c r="ER3" s="845"/>
      <c r="ES3" s="845"/>
      <c r="ET3" s="845"/>
      <c r="EU3" s="845"/>
      <c r="EV3" s="845"/>
      <c r="EW3" s="845"/>
      <c r="EX3" s="845"/>
      <c r="EY3" s="845"/>
      <c r="EZ3" s="845"/>
      <c r="FA3" s="845"/>
      <c r="FB3" s="845"/>
      <c r="FC3" s="845"/>
      <c r="FD3" s="845"/>
      <c r="FE3" s="845"/>
      <c r="FF3" s="845"/>
      <c r="FG3" s="845"/>
      <c r="FH3" s="845"/>
      <c r="FI3" s="845"/>
      <c r="FJ3" s="845"/>
      <c r="FK3" s="845"/>
      <c r="FL3" s="845"/>
      <c r="FM3" s="845"/>
      <c r="FN3" s="845"/>
      <c r="FO3" s="845"/>
      <c r="FP3" s="845"/>
      <c r="FQ3" s="845"/>
      <c r="FR3" s="845"/>
      <c r="FS3" s="845"/>
      <c r="FT3" s="845"/>
      <c r="FU3" s="845"/>
      <c r="FV3" s="845"/>
      <c r="FW3" s="845"/>
      <c r="FX3" s="845"/>
      <c r="FY3" s="845"/>
      <c r="FZ3" s="845"/>
      <c r="GA3" s="845"/>
      <c r="GB3" s="845"/>
      <c r="GC3" s="845"/>
      <c r="GD3" s="845"/>
      <c r="GE3" s="845"/>
      <c r="GF3" s="845"/>
      <c r="GG3" s="845"/>
      <c r="GH3" s="845"/>
      <c r="GI3" s="845"/>
      <c r="GJ3" s="845"/>
      <c r="GK3" s="845"/>
      <c r="GL3" s="845"/>
      <c r="GM3" s="845"/>
      <c r="GN3" s="845"/>
      <c r="GO3" s="845"/>
      <c r="GP3" s="845"/>
      <c r="GQ3" s="845"/>
      <c r="GR3" s="845"/>
      <c r="GS3" s="845"/>
      <c r="GT3" s="845"/>
      <c r="GU3" s="845"/>
      <c r="GV3" s="845"/>
      <c r="GW3" s="845"/>
      <c r="GX3" s="845"/>
      <c r="GY3" s="845"/>
      <c r="GZ3" s="845"/>
      <c r="HA3" s="845"/>
      <c r="HB3" s="845"/>
      <c r="HC3" s="845"/>
      <c r="HD3" s="845"/>
      <c r="HE3" s="845"/>
      <c r="HF3" s="845"/>
      <c r="HG3" s="845"/>
      <c r="HH3" s="845"/>
      <c r="HI3" s="845"/>
      <c r="HJ3" s="845"/>
      <c r="HK3" s="845"/>
      <c r="HL3" s="845"/>
      <c r="HM3" s="845"/>
      <c r="HN3" s="845"/>
      <c r="HO3" s="845"/>
      <c r="HP3" s="845"/>
      <c r="HQ3" s="845"/>
      <c r="HR3" s="845"/>
      <c r="HS3" s="845"/>
      <c r="HT3" s="845"/>
      <c r="HU3" s="845"/>
      <c r="HV3" s="845"/>
      <c r="HW3" s="845"/>
      <c r="HX3" s="845"/>
      <c r="HY3" s="845"/>
      <c r="HZ3" s="845"/>
      <c r="IA3" s="845"/>
      <c r="IB3" s="845"/>
      <c r="IC3" s="845"/>
      <c r="ID3" s="845"/>
      <c r="IE3" s="845"/>
      <c r="IF3" s="845"/>
      <c r="IG3" s="845"/>
      <c r="IH3" s="845"/>
      <c r="II3" s="845"/>
      <c r="IJ3" s="845"/>
      <c r="IK3" s="845"/>
      <c r="IL3" s="845"/>
      <c r="IM3" s="845"/>
      <c r="IN3" s="845"/>
      <c r="IO3" s="845"/>
      <c r="IP3" s="845"/>
      <c r="IQ3" s="845"/>
      <c r="IR3" s="845"/>
      <c r="IS3" s="845"/>
      <c r="IT3" s="845"/>
      <c r="IU3" s="845"/>
    </row>
    <row r="4" spans="1:255" s="12" customFormat="1" ht="72.75" customHeight="1" x14ac:dyDescent="0.25">
      <c r="A4" s="10" t="s">
        <v>1</v>
      </c>
      <c r="B4" s="10" t="s">
        <v>35</v>
      </c>
      <c r="C4" s="10" t="s">
        <v>36</v>
      </c>
      <c r="D4" s="10" t="s">
        <v>37</v>
      </c>
      <c r="E4" s="10" t="s">
        <v>130</v>
      </c>
      <c r="F4" s="10" t="s">
        <v>131</v>
      </c>
      <c r="G4" s="10" t="s">
        <v>38</v>
      </c>
      <c r="H4" s="10" t="s">
        <v>39</v>
      </c>
      <c r="I4" s="10" t="s">
        <v>40</v>
      </c>
      <c r="J4" s="10" t="s">
        <v>41</v>
      </c>
      <c r="K4" s="10" t="s">
        <v>42</v>
      </c>
      <c r="L4" s="10" t="s">
        <v>43</v>
      </c>
      <c r="M4" s="10" t="s">
        <v>44</v>
      </c>
      <c r="N4" s="10" t="s">
        <v>45</v>
      </c>
    </row>
    <row r="5" spans="1:255" s="12" customFormat="1" ht="28.5" customHeight="1" x14ac:dyDescent="0.25">
      <c r="A5" s="101" t="s">
        <v>46</v>
      </c>
      <c r="B5" s="116" t="s">
        <v>47</v>
      </c>
      <c r="C5" s="101"/>
      <c r="D5" s="221"/>
      <c r="E5" s="221"/>
      <c r="F5" s="221"/>
      <c r="G5" s="221"/>
      <c r="H5" s="221"/>
      <c r="I5" s="221"/>
      <c r="J5" s="221"/>
      <c r="K5" s="221"/>
      <c r="L5" s="221"/>
      <c r="M5" s="221"/>
      <c r="N5" s="221"/>
    </row>
    <row r="6" spans="1:255" s="12" customFormat="1" ht="28.5" customHeight="1" x14ac:dyDescent="0.25">
      <c r="A6" s="105">
        <v>1</v>
      </c>
      <c r="B6" s="222" t="s">
        <v>90</v>
      </c>
      <c r="C6" s="223" t="s">
        <v>70</v>
      </c>
      <c r="D6" s="224">
        <f>SUM(G6:N6)</f>
        <v>108</v>
      </c>
      <c r="E6" s="224"/>
      <c r="F6" s="224"/>
      <c r="G6" s="224">
        <v>14</v>
      </c>
      <c r="H6" s="224">
        <v>20</v>
      </c>
      <c r="I6" s="224">
        <v>10</v>
      </c>
      <c r="J6" s="224">
        <v>14</v>
      </c>
      <c r="K6" s="224">
        <v>17</v>
      </c>
      <c r="L6" s="224">
        <v>10</v>
      </c>
      <c r="M6" s="224">
        <v>15</v>
      </c>
      <c r="N6" s="224">
        <v>8</v>
      </c>
    </row>
    <row r="7" spans="1:255" s="91" customFormat="1" ht="28.5" customHeight="1" x14ac:dyDescent="0.25">
      <c r="A7" s="225" t="s">
        <v>31</v>
      </c>
      <c r="B7" s="226" t="s">
        <v>79</v>
      </c>
      <c r="C7" s="225"/>
      <c r="D7" s="224"/>
      <c r="E7" s="227"/>
      <c r="F7" s="227"/>
      <c r="G7" s="227"/>
      <c r="H7" s="227"/>
      <c r="I7" s="227"/>
      <c r="J7" s="227"/>
      <c r="K7" s="227"/>
      <c r="L7" s="227"/>
      <c r="M7" s="227"/>
      <c r="N7" s="227"/>
    </row>
    <row r="8" spans="1:255" ht="28.5" customHeight="1" x14ac:dyDescent="0.25">
      <c r="A8" s="105">
        <v>1</v>
      </c>
      <c r="B8" s="222" t="s">
        <v>90</v>
      </c>
      <c r="C8" s="228">
        <v>27</v>
      </c>
      <c r="D8" s="224">
        <f>SUM(G8:N8)</f>
        <v>2916</v>
      </c>
      <c r="E8" s="224"/>
      <c r="F8" s="224"/>
      <c r="G8" s="229">
        <f>G6*$C$8</f>
        <v>378</v>
      </c>
      <c r="H8" s="229">
        <f t="shared" ref="H8:N8" si="0">H6*$C$8</f>
        <v>540</v>
      </c>
      <c r="I8" s="229">
        <f t="shared" si="0"/>
        <v>270</v>
      </c>
      <c r="J8" s="229">
        <f t="shared" si="0"/>
        <v>378</v>
      </c>
      <c r="K8" s="229">
        <f t="shared" si="0"/>
        <v>459</v>
      </c>
      <c r="L8" s="229">
        <f t="shared" si="0"/>
        <v>270</v>
      </c>
      <c r="M8" s="229">
        <f t="shared" si="0"/>
        <v>405</v>
      </c>
      <c r="N8" s="229">
        <f t="shared" si="0"/>
        <v>216</v>
      </c>
    </row>
    <row r="9" spans="1:255" s="219" customFormat="1" ht="27.75" customHeight="1" x14ac:dyDescent="0.25">
      <c r="A9" s="225" t="s">
        <v>54</v>
      </c>
      <c r="B9" s="115" t="s">
        <v>576</v>
      </c>
      <c r="C9" s="103"/>
      <c r="D9" s="230">
        <v>8489</v>
      </c>
      <c r="E9" s="230">
        <f>E10</f>
        <v>2971</v>
      </c>
      <c r="F9" s="230">
        <f t="shared" ref="F9:N9" si="1">F10</f>
        <v>1273</v>
      </c>
      <c r="G9" s="230">
        <f t="shared" si="1"/>
        <v>550</v>
      </c>
      <c r="H9" s="230">
        <f t="shared" si="1"/>
        <v>786</v>
      </c>
      <c r="I9" s="230">
        <f t="shared" si="1"/>
        <v>394</v>
      </c>
      <c r="J9" s="230">
        <f t="shared" si="1"/>
        <v>550</v>
      </c>
      <c r="K9" s="230">
        <f t="shared" si="1"/>
        <v>668</v>
      </c>
      <c r="L9" s="230">
        <f t="shared" si="1"/>
        <v>393</v>
      </c>
      <c r="M9" s="230">
        <f t="shared" si="1"/>
        <v>590</v>
      </c>
      <c r="N9" s="230">
        <f t="shared" si="1"/>
        <v>314</v>
      </c>
    </row>
    <row r="10" spans="1:255" ht="28.5" customHeight="1" x14ac:dyDescent="0.25">
      <c r="A10" s="105">
        <v>1</v>
      </c>
      <c r="B10" s="222" t="s">
        <v>150</v>
      </c>
      <c r="C10" s="105" t="s">
        <v>55</v>
      </c>
      <c r="D10" s="224">
        <f>SUM(E10:N10)</f>
        <v>8489</v>
      </c>
      <c r="E10" s="224">
        <f>ROUND($D$9*35%,0)</f>
        <v>2971</v>
      </c>
      <c r="F10" s="224">
        <f>ROUND($D$9*15%,0)</f>
        <v>1273</v>
      </c>
      <c r="G10" s="229">
        <f>ROUND(($D$9-$E$10-$F$10)/$D$8*G8,0)</f>
        <v>550</v>
      </c>
      <c r="H10" s="229">
        <f t="shared" ref="H10:N10" si="2">ROUND(($D$9-$E$10-$F$10)/$D$8*H8,0)</f>
        <v>786</v>
      </c>
      <c r="I10" s="229">
        <f>ROUND(($D$9-$E$10-$F$10)/$D$8*I8,0)+1</f>
        <v>394</v>
      </c>
      <c r="J10" s="229">
        <f t="shared" si="2"/>
        <v>550</v>
      </c>
      <c r="K10" s="229">
        <f t="shared" si="2"/>
        <v>668</v>
      </c>
      <c r="L10" s="229">
        <f t="shared" si="2"/>
        <v>393</v>
      </c>
      <c r="M10" s="229">
        <f t="shared" si="2"/>
        <v>590</v>
      </c>
      <c r="N10" s="229">
        <f t="shared" si="2"/>
        <v>314</v>
      </c>
    </row>
    <row r="11" spans="1:255" s="219" customFormat="1" ht="27.75" customHeight="1" x14ac:dyDescent="0.25">
      <c r="A11" s="225" t="s">
        <v>56</v>
      </c>
      <c r="B11" s="115" t="s">
        <v>603</v>
      </c>
      <c r="C11" s="103"/>
      <c r="D11" s="230">
        <f>D12</f>
        <v>479</v>
      </c>
      <c r="E11" s="230">
        <f t="shared" ref="E11:N11" si="3">E12</f>
        <v>168</v>
      </c>
      <c r="F11" s="230">
        <f t="shared" si="3"/>
        <v>72</v>
      </c>
      <c r="G11" s="230">
        <f t="shared" si="3"/>
        <v>31</v>
      </c>
      <c r="H11" s="230">
        <f t="shared" si="3"/>
        <v>44</v>
      </c>
      <c r="I11" s="230">
        <f t="shared" si="3"/>
        <v>22</v>
      </c>
      <c r="J11" s="230">
        <f t="shared" si="3"/>
        <v>31</v>
      </c>
      <c r="K11" s="230">
        <f t="shared" si="3"/>
        <v>38</v>
      </c>
      <c r="L11" s="230">
        <f t="shared" si="3"/>
        <v>22</v>
      </c>
      <c r="M11" s="230">
        <f t="shared" si="3"/>
        <v>33</v>
      </c>
      <c r="N11" s="230">
        <f t="shared" si="3"/>
        <v>18</v>
      </c>
    </row>
    <row r="12" spans="1:255" ht="29.25" customHeight="1" x14ac:dyDescent="0.25">
      <c r="A12" s="105">
        <v>1</v>
      </c>
      <c r="B12" s="222" t="s">
        <v>150</v>
      </c>
      <c r="C12" s="105" t="s">
        <v>55</v>
      </c>
      <c r="D12" s="224">
        <f>SUM(E12:N12)</f>
        <v>479</v>
      </c>
      <c r="E12" s="224">
        <f>ROUND(E10*5.653%,0)</f>
        <v>168</v>
      </c>
      <c r="F12" s="224">
        <f>ROUND(F10*5.653%,0)</f>
        <v>72</v>
      </c>
      <c r="G12" s="224">
        <f t="shared" ref="G12:N12" si="4">ROUND(G10*5.653%,0)</f>
        <v>31</v>
      </c>
      <c r="H12" s="224">
        <f t="shared" si="4"/>
        <v>44</v>
      </c>
      <c r="I12" s="224">
        <f t="shared" si="4"/>
        <v>22</v>
      </c>
      <c r="J12" s="224">
        <f t="shared" si="4"/>
        <v>31</v>
      </c>
      <c r="K12" s="224">
        <f t="shared" si="4"/>
        <v>38</v>
      </c>
      <c r="L12" s="224">
        <f t="shared" si="4"/>
        <v>22</v>
      </c>
      <c r="M12" s="224">
        <f t="shared" si="4"/>
        <v>33</v>
      </c>
      <c r="N12" s="224">
        <f t="shared" si="4"/>
        <v>18</v>
      </c>
    </row>
    <row r="13" spans="1:255" s="219" customFormat="1" ht="29.25" customHeight="1" x14ac:dyDescent="0.25">
      <c r="A13" s="225" t="s">
        <v>57</v>
      </c>
      <c r="B13" s="115" t="s">
        <v>261</v>
      </c>
      <c r="C13" s="103"/>
      <c r="D13" s="230">
        <f>D14</f>
        <v>8968</v>
      </c>
      <c r="E13" s="230">
        <f>E14</f>
        <v>3139</v>
      </c>
      <c r="F13" s="230">
        <f t="shared" ref="F13:N13" si="5">F14</f>
        <v>1345</v>
      </c>
      <c r="G13" s="230">
        <f t="shared" si="5"/>
        <v>581</v>
      </c>
      <c r="H13" s="230">
        <f t="shared" si="5"/>
        <v>830</v>
      </c>
      <c r="I13" s="230">
        <f t="shared" si="5"/>
        <v>416</v>
      </c>
      <c r="J13" s="230">
        <f t="shared" si="5"/>
        <v>581</v>
      </c>
      <c r="K13" s="230">
        <f t="shared" si="5"/>
        <v>706</v>
      </c>
      <c r="L13" s="230">
        <f t="shared" si="5"/>
        <v>415</v>
      </c>
      <c r="M13" s="230">
        <f t="shared" si="5"/>
        <v>623</v>
      </c>
      <c r="N13" s="230">
        <f t="shared" si="5"/>
        <v>332</v>
      </c>
    </row>
    <row r="14" spans="1:255" ht="29.25" customHeight="1" x14ac:dyDescent="0.25">
      <c r="A14" s="105">
        <v>1</v>
      </c>
      <c r="B14" s="222" t="s">
        <v>150</v>
      </c>
      <c r="C14" s="105" t="s">
        <v>55</v>
      </c>
      <c r="D14" s="224">
        <f>SUM(E14:N14)</f>
        <v>8968</v>
      </c>
      <c r="E14" s="224">
        <f>E12+E10</f>
        <v>3139</v>
      </c>
      <c r="F14" s="224">
        <f t="shared" ref="F14:N14" si="6">F12+F10</f>
        <v>1345</v>
      </c>
      <c r="G14" s="224">
        <f t="shared" si="6"/>
        <v>581</v>
      </c>
      <c r="H14" s="224">
        <f t="shared" si="6"/>
        <v>830</v>
      </c>
      <c r="I14" s="224">
        <f t="shared" si="6"/>
        <v>416</v>
      </c>
      <c r="J14" s="224">
        <f t="shared" si="6"/>
        <v>581</v>
      </c>
      <c r="K14" s="224">
        <f t="shared" si="6"/>
        <v>706</v>
      </c>
      <c r="L14" s="224">
        <f t="shared" si="6"/>
        <v>415</v>
      </c>
      <c r="M14" s="224">
        <f t="shared" si="6"/>
        <v>623</v>
      </c>
      <c r="N14" s="224">
        <f t="shared" si="6"/>
        <v>332</v>
      </c>
    </row>
    <row r="15" spans="1:255" s="219" customFormat="1" ht="41.25" hidden="1" customHeight="1" x14ac:dyDescent="0.25">
      <c r="A15" s="471" t="s">
        <v>478</v>
      </c>
      <c r="B15" s="472" t="s">
        <v>573</v>
      </c>
      <c r="C15" s="465"/>
      <c r="D15" s="473">
        <f>D16</f>
        <v>9675.3273458704334</v>
      </c>
      <c r="E15" s="473">
        <f>E16</f>
        <v>3386.3645710546516</v>
      </c>
      <c r="F15" s="473">
        <f t="shared" ref="F15" si="7">F16</f>
        <v>1451.2991018805651</v>
      </c>
      <c r="G15" s="473">
        <f t="shared" ref="G15" si="8">G16</f>
        <v>627.10455019530582</v>
      </c>
      <c r="H15" s="473">
        <f t="shared" ref="H15" si="9">H16</f>
        <v>895.86364313615127</v>
      </c>
      <c r="I15" s="473">
        <f t="shared" ref="I15" si="10">I16</f>
        <v>447.93182156807563</v>
      </c>
      <c r="J15" s="473">
        <f t="shared" ref="J15" si="11">J16</f>
        <v>627.10455019530582</v>
      </c>
      <c r="K15" s="473">
        <f t="shared" ref="K15" si="12">K16</f>
        <v>761.48409666572866</v>
      </c>
      <c r="L15" s="473">
        <f t="shared" ref="L15" si="13">L16</f>
        <v>447.93182156807563</v>
      </c>
      <c r="M15" s="473">
        <f t="shared" ref="M15" si="14">M16</f>
        <v>671.89773235211351</v>
      </c>
      <c r="N15" s="473">
        <f t="shared" ref="N15" si="15">N16</f>
        <v>358.34545725446048</v>
      </c>
    </row>
    <row r="16" spans="1:255" ht="29.25" hidden="1" customHeight="1" x14ac:dyDescent="0.25">
      <c r="A16" s="432">
        <v>1</v>
      </c>
      <c r="B16" s="474" t="s">
        <v>150</v>
      </c>
      <c r="C16" s="432" t="s">
        <v>55</v>
      </c>
      <c r="D16" s="475">
        <f>SUM(E16:N16)</f>
        <v>9675.3273458704334</v>
      </c>
      <c r="E16" s="475">
        <v>3386.3645710546516</v>
      </c>
      <c r="F16" s="475">
        <v>1451.2991018805651</v>
      </c>
      <c r="G16" s="475">
        <v>627.10455019530582</v>
      </c>
      <c r="H16" s="475">
        <v>895.86364313615127</v>
      </c>
      <c r="I16" s="475">
        <v>447.93182156807563</v>
      </c>
      <c r="J16" s="475">
        <v>627.10455019530582</v>
      </c>
      <c r="K16" s="475">
        <v>761.48409666572866</v>
      </c>
      <c r="L16" s="475">
        <v>447.93182156807563</v>
      </c>
      <c r="M16" s="475">
        <v>671.89773235211351</v>
      </c>
      <c r="N16" s="475">
        <v>358.34545725446048</v>
      </c>
    </row>
    <row r="17" spans="1:14" s="219" customFormat="1" ht="41.25" hidden="1" customHeight="1" x14ac:dyDescent="0.25">
      <c r="A17" s="471" t="s">
        <v>497</v>
      </c>
      <c r="B17" s="472" t="s">
        <v>571</v>
      </c>
      <c r="C17" s="465"/>
      <c r="D17" s="473">
        <f>D18</f>
        <v>-707.32734587043353</v>
      </c>
      <c r="E17" s="473">
        <f>E18</f>
        <v>-247.36457105465161</v>
      </c>
      <c r="F17" s="473">
        <f t="shared" ref="F17" si="16">F18</f>
        <v>-106.2991018805651</v>
      </c>
      <c r="G17" s="473">
        <f t="shared" ref="G17" si="17">G18</f>
        <v>-46.104550195305819</v>
      </c>
      <c r="H17" s="473">
        <f t="shared" ref="H17" si="18">H18</f>
        <v>-65.863643136151268</v>
      </c>
      <c r="I17" s="473">
        <f t="shared" ref="I17" si="19">I18</f>
        <v>-31.931821568075634</v>
      </c>
      <c r="J17" s="473">
        <f t="shared" ref="J17" si="20">J18</f>
        <v>-46.104550195305819</v>
      </c>
      <c r="K17" s="473">
        <f t="shared" ref="K17" si="21">K18</f>
        <v>-55.484096665728657</v>
      </c>
      <c r="L17" s="473">
        <f t="shared" ref="L17" si="22">L18</f>
        <v>-32.931821568075634</v>
      </c>
      <c r="M17" s="473">
        <f t="shared" ref="M17" si="23">M18</f>
        <v>-48.897732352113508</v>
      </c>
      <c r="N17" s="473">
        <f t="shared" ref="N17" si="24">N18</f>
        <v>-26.345457254460484</v>
      </c>
    </row>
    <row r="18" spans="1:14" ht="29.25" hidden="1" customHeight="1" x14ac:dyDescent="0.25">
      <c r="A18" s="435">
        <v>1</v>
      </c>
      <c r="B18" s="476" t="s">
        <v>150</v>
      </c>
      <c r="C18" s="435" t="s">
        <v>55</v>
      </c>
      <c r="D18" s="477">
        <f>SUM(E18:N18)</f>
        <v>-707.32734587043353</v>
      </c>
      <c r="E18" s="477">
        <f>E14-E16</f>
        <v>-247.36457105465161</v>
      </c>
      <c r="F18" s="477">
        <f t="shared" ref="F18:N18" si="25">F14-F16</f>
        <v>-106.2991018805651</v>
      </c>
      <c r="G18" s="477">
        <f t="shared" si="25"/>
        <v>-46.104550195305819</v>
      </c>
      <c r="H18" s="477">
        <f t="shared" si="25"/>
        <v>-65.863643136151268</v>
      </c>
      <c r="I18" s="477">
        <f t="shared" si="25"/>
        <v>-31.931821568075634</v>
      </c>
      <c r="J18" s="477">
        <f t="shared" si="25"/>
        <v>-46.104550195305819</v>
      </c>
      <c r="K18" s="477">
        <f t="shared" si="25"/>
        <v>-55.484096665728657</v>
      </c>
      <c r="L18" s="477">
        <f t="shared" si="25"/>
        <v>-32.931821568075634</v>
      </c>
      <c r="M18" s="477">
        <f t="shared" si="25"/>
        <v>-48.897732352113508</v>
      </c>
      <c r="N18" s="477">
        <f t="shared" si="25"/>
        <v>-26.345457254460484</v>
      </c>
    </row>
    <row r="19" spans="1:14" ht="34.5" hidden="1" customHeight="1" x14ac:dyDescent="0.25">
      <c r="A19" s="47"/>
      <c r="B19" s="47"/>
      <c r="C19" s="47"/>
      <c r="D19" s="47"/>
      <c r="E19" s="47"/>
      <c r="F19" s="47"/>
      <c r="G19" s="47"/>
      <c r="H19" s="47"/>
      <c r="I19" s="47"/>
      <c r="J19" s="47"/>
      <c r="K19" s="47"/>
      <c r="L19" s="47"/>
      <c r="M19" s="47"/>
      <c r="N19" s="47"/>
    </row>
    <row r="20" spans="1:14" hidden="1" x14ac:dyDescent="0.25">
      <c r="C20" s="90" t="s">
        <v>552</v>
      </c>
      <c r="D20" s="564">
        <v>8489</v>
      </c>
      <c r="E20" s="564">
        <f>SUM(D20:D22)</f>
        <v>12257</v>
      </c>
    </row>
    <row r="21" spans="1:14" hidden="1" x14ac:dyDescent="0.25">
      <c r="C21" s="90" t="s">
        <v>553</v>
      </c>
      <c r="D21" s="564">
        <v>1416</v>
      </c>
      <c r="E21" s="564"/>
    </row>
    <row r="22" spans="1:14" hidden="1" x14ac:dyDescent="0.25">
      <c r="C22" s="90" t="s">
        <v>554</v>
      </c>
      <c r="D22" s="564">
        <v>2352</v>
      </c>
      <c r="E22" s="564">
        <f>E20*5%</f>
        <v>612.85</v>
      </c>
      <c r="F22" s="220">
        <f>D11+'B17-TDA3,DA10'!E75</f>
        <v>613</v>
      </c>
      <c r="H22" s="220"/>
      <c r="I22" s="331"/>
    </row>
    <row r="23" spans="1:14" hidden="1" x14ac:dyDescent="0.25">
      <c r="D23" s="564"/>
      <c r="E23" s="564">
        <f>D20+D22</f>
        <v>10841</v>
      </c>
      <c r="F23" s="220">
        <f>D9+'B17-TDA3,DA10'!D75</f>
        <v>10841</v>
      </c>
      <c r="H23" s="92"/>
    </row>
    <row r="24" spans="1:14" hidden="1" x14ac:dyDescent="0.25">
      <c r="E24" s="565">
        <f>E22/E23</f>
        <v>5.653076284475602E-2</v>
      </c>
    </row>
    <row r="25" spans="1:14" hidden="1" x14ac:dyDescent="0.25"/>
  </sheetData>
  <mergeCells count="22">
    <mergeCell ref="K1:N1"/>
    <mergeCell ref="BM3:BY3"/>
    <mergeCell ref="BZ3:CL3"/>
    <mergeCell ref="CM3:CY3"/>
    <mergeCell ref="CZ3:DL3"/>
    <mergeCell ref="Z3:AL3"/>
    <mergeCell ref="FZ3:GL3"/>
    <mergeCell ref="IM3:IU3"/>
    <mergeCell ref="A2:N2"/>
    <mergeCell ref="DM3:DY3"/>
    <mergeCell ref="DZ3:EL3"/>
    <mergeCell ref="EM3:EY3"/>
    <mergeCell ref="EZ3:FL3"/>
    <mergeCell ref="FM3:FY3"/>
    <mergeCell ref="AM3:AY3"/>
    <mergeCell ref="AZ3:BL3"/>
    <mergeCell ref="GZ3:HL3"/>
    <mergeCell ref="HM3:HY3"/>
    <mergeCell ref="HZ3:IL3"/>
    <mergeCell ref="GM3:GY3"/>
    <mergeCell ref="A3:N3"/>
    <mergeCell ref="O3:Y3"/>
  </mergeCells>
  <pageMargins left="0.59055118110236227" right="0.39370078740157483" top="0.59055118110236227" bottom="0.39370078740157483" header="0.31496062992125984" footer="0.31496062992125984"/>
  <pageSetup paperSize="9" scale="74" firstPageNumber="180" fitToHeight="0" orientation="landscape" useFirstPageNumber="1" r:id="rId1"/>
  <headerFooter>
    <oddHeader>&amp;C&amp;P</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16"/>
  <sheetViews>
    <sheetView view="pageLayout" zoomScaleNormal="100" workbookViewId="0">
      <selection activeCell="B4" sqref="B1:B1048576"/>
    </sheetView>
  </sheetViews>
  <sheetFormatPr defaultColWidth="7.75" defaultRowHeight="15.75" x14ac:dyDescent="0.25"/>
  <cols>
    <col min="1" max="1" width="6.75" style="561" customWidth="1"/>
    <col min="2" max="2" width="37.75" style="753" customWidth="1"/>
    <col min="3" max="3" width="11.5" style="561" customWidth="1"/>
    <col min="4" max="14" width="11.125" style="561" customWidth="1"/>
    <col min="15" max="16" width="12.75" style="546" bestFit="1" customWidth="1"/>
    <col min="17" max="20" width="10.75" style="546" customWidth="1"/>
    <col min="21" max="16384" width="7.75" style="546"/>
  </cols>
  <sheetData>
    <row r="1" spans="1:14" ht="30.75" customHeight="1" x14ac:dyDescent="0.25">
      <c r="A1" s="545"/>
      <c r="B1" s="745"/>
      <c r="C1" s="545"/>
      <c r="D1" s="545"/>
      <c r="E1" s="545"/>
      <c r="F1" s="545"/>
      <c r="G1" s="545"/>
      <c r="H1" s="545"/>
      <c r="I1" s="545"/>
      <c r="J1" s="545"/>
      <c r="K1" s="545"/>
      <c r="L1" s="849" t="s">
        <v>624</v>
      </c>
      <c r="M1" s="849"/>
      <c r="N1" s="849"/>
    </row>
    <row r="2" spans="1:14" ht="39" customHeight="1" x14ac:dyDescent="0.25">
      <c r="A2" s="850" t="s">
        <v>578</v>
      </c>
      <c r="B2" s="850"/>
      <c r="C2" s="850"/>
      <c r="D2" s="850"/>
      <c r="E2" s="850"/>
      <c r="F2" s="850"/>
      <c r="G2" s="850"/>
      <c r="H2" s="850"/>
      <c r="I2" s="850"/>
      <c r="J2" s="850"/>
      <c r="K2" s="850"/>
      <c r="L2" s="850"/>
      <c r="M2" s="850"/>
      <c r="N2" s="850"/>
    </row>
    <row r="3" spans="1:14" ht="26.25" customHeight="1" x14ac:dyDescent="0.25">
      <c r="A3" s="851" t="str">
        <f>'B15-TDA1,DA10'!A3:N3</f>
        <v>(Kèm theo Báo cáo số:          /BC-UBND ngày          tháng 11 năm 2023 của UBND tỉnh)</v>
      </c>
      <c r="B3" s="851"/>
      <c r="C3" s="851"/>
      <c r="D3" s="851"/>
      <c r="E3" s="851"/>
      <c r="F3" s="851"/>
      <c r="G3" s="851"/>
      <c r="H3" s="851"/>
      <c r="I3" s="851"/>
      <c r="J3" s="851"/>
      <c r="K3" s="851"/>
      <c r="L3" s="851"/>
      <c r="M3" s="851"/>
      <c r="N3" s="851"/>
    </row>
    <row r="4" spans="1:14" s="71" customFormat="1" ht="55.5" customHeight="1" x14ac:dyDescent="0.25">
      <c r="A4" s="547" t="s">
        <v>1</v>
      </c>
      <c r="B4" s="746" t="s">
        <v>35</v>
      </c>
      <c r="C4" s="547" t="s">
        <v>36</v>
      </c>
      <c r="D4" s="547" t="s">
        <v>37</v>
      </c>
      <c r="E4" s="547" t="s">
        <v>579</v>
      </c>
      <c r="F4" s="547" t="s">
        <v>580</v>
      </c>
      <c r="G4" s="547" t="s">
        <v>38</v>
      </c>
      <c r="H4" s="547" t="s">
        <v>39</v>
      </c>
      <c r="I4" s="547" t="s">
        <v>40</v>
      </c>
      <c r="J4" s="547" t="s">
        <v>41</v>
      </c>
      <c r="K4" s="547" t="s">
        <v>42</v>
      </c>
      <c r="L4" s="547" t="s">
        <v>43</v>
      </c>
      <c r="M4" s="547" t="s">
        <v>44</v>
      </c>
      <c r="N4" s="547" t="s">
        <v>45</v>
      </c>
    </row>
    <row r="5" spans="1:14" s="75" customFormat="1" ht="21" customHeight="1" x14ac:dyDescent="0.25">
      <c r="A5" s="548" t="s">
        <v>46</v>
      </c>
      <c r="B5" s="747" t="s">
        <v>47</v>
      </c>
      <c r="C5" s="548"/>
      <c r="D5" s="548"/>
      <c r="E5" s="548"/>
      <c r="F5" s="548"/>
      <c r="G5" s="548"/>
      <c r="H5" s="548"/>
      <c r="I5" s="548"/>
      <c r="J5" s="548"/>
      <c r="K5" s="548"/>
      <c r="L5" s="548"/>
      <c r="M5" s="548"/>
      <c r="N5" s="548"/>
    </row>
    <row r="6" spans="1:14" ht="36" customHeight="1" x14ac:dyDescent="0.25">
      <c r="A6" s="549">
        <v>1</v>
      </c>
      <c r="B6" s="748" t="s">
        <v>581</v>
      </c>
      <c r="C6" s="549" t="s">
        <v>70</v>
      </c>
      <c r="D6" s="550">
        <f>SUM(G6:N6)</f>
        <v>66</v>
      </c>
      <c r="E6" s="550"/>
      <c r="F6" s="550"/>
      <c r="G6" s="550">
        <v>8</v>
      </c>
      <c r="H6" s="550">
        <v>8</v>
      </c>
      <c r="I6" s="550">
        <v>9</v>
      </c>
      <c r="J6" s="550">
        <v>8</v>
      </c>
      <c r="K6" s="550">
        <v>13</v>
      </c>
      <c r="L6" s="550">
        <v>10</v>
      </c>
      <c r="M6" s="550">
        <v>10</v>
      </c>
      <c r="N6" s="550">
        <v>0</v>
      </c>
    </row>
    <row r="7" spans="1:14" ht="53.25" customHeight="1" x14ac:dyDescent="0.25">
      <c r="A7" s="549">
        <v>2</v>
      </c>
      <c r="B7" s="748" t="s">
        <v>582</v>
      </c>
      <c r="C7" s="549" t="s">
        <v>73</v>
      </c>
      <c r="D7" s="550">
        <f>SUM(G7:N7)</f>
        <v>61</v>
      </c>
      <c r="E7" s="550"/>
      <c r="F7" s="550"/>
      <c r="G7" s="550">
        <v>9</v>
      </c>
      <c r="H7" s="550">
        <v>15</v>
      </c>
      <c r="I7" s="550">
        <v>1</v>
      </c>
      <c r="J7" s="550">
        <v>10</v>
      </c>
      <c r="K7" s="550">
        <v>11</v>
      </c>
      <c r="L7" s="550">
        <v>0</v>
      </c>
      <c r="M7" s="550">
        <v>14</v>
      </c>
      <c r="N7" s="550">
        <v>1</v>
      </c>
    </row>
    <row r="8" spans="1:14" s="75" customFormat="1" ht="21" customHeight="1" x14ac:dyDescent="0.25">
      <c r="A8" s="551" t="s">
        <v>31</v>
      </c>
      <c r="B8" s="749" t="s">
        <v>79</v>
      </c>
      <c r="C8" s="551"/>
      <c r="D8" s="552">
        <f>SUM(D9:D10)</f>
        <v>2010.5</v>
      </c>
      <c r="E8" s="552"/>
      <c r="F8" s="552"/>
      <c r="G8" s="552">
        <f t="shared" ref="G8:N8" si="0">SUM(G9:G10)</f>
        <v>244.5</v>
      </c>
      <c r="H8" s="552">
        <f t="shared" si="0"/>
        <v>247.5</v>
      </c>
      <c r="I8" s="552">
        <f t="shared" si="0"/>
        <v>270.5</v>
      </c>
      <c r="J8" s="552">
        <f t="shared" si="0"/>
        <v>245</v>
      </c>
      <c r="K8" s="552">
        <f t="shared" si="0"/>
        <v>395.5</v>
      </c>
      <c r="L8" s="552">
        <f t="shared" si="0"/>
        <v>300</v>
      </c>
      <c r="M8" s="552">
        <f t="shared" si="0"/>
        <v>307</v>
      </c>
      <c r="N8" s="552">
        <f t="shared" si="0"/>
        <v>0.5</v>
      </c>
    </row>
    <row r="9" spans="1:14" ht="36" customHeight="1" x14ac:dyDescent="0.25">
      <c r="A9" s="549">
        <v>1</v>
      </c>
      <c r="B9" s="748" t="s">
        <v>581</v>
      </c>
      <c r="C9" s="549">
        <v>30</v>
      </c>
      <c r="D9" s="550">
        <f>SUM(G9:N9)</f>
        <v>1980</v>
      </c>
      <c r="E9" s="550"/>
      <c r="F9" s="550"/>
      <c r="G9" s="550">
        <f>$C9*G6</f>
        <v>240</v>
      </c>
      <c r="H9" s="550">
        <f t="shared" ref="H9:N10" si="1">$C9*H6</f>
        <v>240</v>
      </c>
      <c r="I9" s="550">
        <f t="shared" si="1"/>
        <v>270</v>
      </c>
      <c r="J9" s="550">
        <f t="shared" si="1"/>
        <v>240</v>
      </c>
      <c r="K9" s="550">
        <f t="shared" si="1"/>
        <v>390</v>
      </c>
      <c r="L9" s="550">
        <f t="shared" si="1"/>
        <v>300</v>
      </c>
      <c r="M9" s="550">
        <f t="shared" si="1"/>
        <v>300</v>
      </c>
      <c r="N9" s="550">
        <f t="shared" si="1"/>
        <v>0</v>
      </c>
    </row>
    <row r="10" spans="1:14" ht="53.25" customHeight="1" x14ac:dyDescent="0.25">
      <c r="A10" s="549">
        <v>2</v>
      </c>
      <c r="B10" s="748" t="s">
        <v>582</v>
      </c>
      <c r="C10" s="553">
        <v>0.5</v>
      </c>
      <c r="D10" s="550">
        <f>SUM(G10:N10)</f>
        <v>30.5</v>
      </c>
      <c r="E10" s="550"/>
      <c r="F10" s="550"/>
      <c r="G10" s="550">
        <f>$C10*G7</f>
        <v>4.5</v>
      </c>
      <c r="H10" s="550">
        <f t="shared" si="1"/>
        <v>7.5</v>
      </c>
      <c r="I10" s="550">
        <f t="shared" si="1"/>
        <v>0.5</v>
      </c>
      <c r="J10" s="550">
        <f>$C10*J7</f>
        <v>5</v>
      </c>
      <c r="K10" s="550">
        <f t="shared" si="1"/>
        <v>5.5</v>
      </c>
      <c r="L10" s="550">
        <f t="shared" si="1"/>
        <v>0</v>
      </c>
      <c r="M10" s="550">
        <f t="shared" si="1"/>
        <v>7</v>
      </c>
      <c r="N10" s="550">
        <f t="shared" si="1"/>
        <v>0.5</v>
      </c>
    </row>
    <row r="11" spans="1:14" s="75" customFormat="1" ht="22.5" customHeight="1" x14ac:dyDescent="0.25">
      <c r="A11" s="554" t="s">
        <v>54</v>
      </c>
      <c r="B11" s="750" t="s">
        <v>576</v>
      </c>
      <c r="C11" s="554"/>
      <c r="D11" s="206">
        <v>1416</v>
      </c>
      <c r="E11" s="206">
        <f>E12</f>
        <v>241</v>
      </c>
      <c r="F11" s="206">
        <f t="shared" ref="F11:N11" si="2">F12</f>
        <v>708</v>
      </c>
      <c r="G11" s="206">
        <f t="shared" si="2"/>
        <v>57</v>
      </c>
      <c r="H11" s="206">
        <f t="shared" si="2"/>
        <v>57</v>
      </c>
      <c r="I11" s="206">
        <f t="shared" si="2"/>
        <v>63</v>
      </c>
      <c r="J11" s="206">
        <f t="shared" si="2"/>
        <v>57</v>
      </c>
      <c r="K11" s="206">
        <f t="shared" si="2"/>
        <v>92</v>
      </c>
      <c r="L11" s="206">
        <f t="shared" si="2"/>
        <v>70</v>
      </c>
      <c r="M11" s="206">
        <f t="shared" si="2"/>
        <v>71</v>
      </c>
      <c r="N11" s="206">
        <f t="shared" si="2"/>
        <v>0</v>
      </c>
    </row>
    <row r="12" spans="1:14" s="74" customFormat="1" ht="21" customHeight="1" x14ac:dyDescent="0.25">
      <c r="A12" s="555">
        <v>1</v>
      </c>
      <c r="B12" s="751" t="s">
        <v>166</v>
      </c>
      <c r="C12" s="549" t="s">
        <v>55</v>
      </c>
      <c r="D12" s="133">
        <f>SUM(E12:N12)</f>
        <v>1416</v>
      </c>
      <c r="E12" s="133">
        <f>ROUND($D$11*17%,0)</f>
        <v>241</v>
      </c>
      <c r="F12" s="133">
        <f>ROUND($D$11*50%,0)</f>
        <v>708</v>
      </c>
      <c r="G12" s="133">
        <f>ROUND(($D$11-$E$12-$F$12)/$D$8*G8,0)</f>
        <v>57</v>
      </c>
      <c r="H12" s="133">
        <f t="shared" ref="H12:N12" si="3">ROUND(($D$11-$E$12-$F$12)/$D$8*H8,0)</f>
        <v>57</v>
      </c>
      <c r="I12" s="133">
        <f t="shared" si="3"/>
        <v>63</v>
      </c>
      <c r="J12" s="133">
        <f t="shared" si="3"/>
        <v>57</v>
      </c>
      <c r="K12" s="133">
        <f>ROUND(($D$11-$E$12-$F$12)/$D$8*K8,0)</f>
        <v>92</v>
      </c>
      <c r="L12" s="133">
        <f>ROUND(($D$11-$E$12-$F$12)/$D$8*L8+0.8,0)</f>
        <v>70</v>
      </c>
      <c r="M12" s="133">
        <f t="shared" si="3"/>
        <v>71</v>
      </c>
      <c r="N12" s="133">
        <f t="shared" si="3"/>
        <v>0</v>
      </c>
    </row>
    <row r="13" spans="1:14" s="75" customFormat="1" ht="36" customHeight="1" x14ac:dyDescent="0.25">
      <c r="A13" s="554" t="s">
        <v>56</v>
      </c>
      <c r="B13" s="750" t="s">
        <v>562</v>
      </c>
      <c r="C13" s="554"/>
      <c r="D13" s="556">
        <f>D14</f>
        <v>0</v>
      </c>
      <c r="E13" s="556">
        <f t="shared" ref="E13:N13" si="4">E14</f>
        <v>0</v>
      </c>
      <c r="F13" s="556">
        <f t="shared" si="4"/>
        <v>0</v>
      </c>
      <c r="G13" s="556">
        <f t="shared" si="4"/>
        <v>0</v>
      </c>
      <c r="H13" s="556">
        <f t="shared" si="4"/>
        <v>0</v>
      </c>
      <c r="I13" s="556">
        <f t="shared" si="4"/>
        <v>0</v>
      </c>
      <c r="J13" s="556">
        <f t="shared" si="4"/>
        <v>0</v>
      </c>
      <c r="K13" s="556">
        <f t="shared" si="4"/>
        <v>0</v>
      </c>
      <c r="L13" s="556">
        <f t="shared" si="4"/>
        <v>0</v>
      </c>
      <c r="M13" s="556">
        <f t="shared" si="4"/>
        <v>0</v>
      </c>
      <c r="N13" s="556">
        <f t="shared" si="4"/>
        <v>0</v>
      </c>
    </row>
    <row r="14" spans="1:14" s="74" customFormat="1" ht="21" customHeight="1" x14ac:dyDescent="0.25">
      <c r="A14" s="555">
        <v>1</v>
      </c>
      <c r="B14" s="751" t="s">
        <v>166</v>
      </c>
      <c r="C14" s="549" t="s">
        <v>55</v>
      </c>
      <c r="D14" s="557">
        <f>SUM(E14:N14)</f>
        <v>0</v>
      </c>
      <c r="E14" s="557">
        <v>0</v>
      </c>
      <c r="F14" s="557">
        <v>0</v>
      </c>
      <c r="G14" s="557">
        <v>0</v>
      </c>
      <c r="H14" s="557">
        <v>0</v>
      </c>
      <c r="I14" s="557">
        <v>0</v>
      </c>
      <c r="J14" s="557">
        <v>0</v>
      </c>
      <c r="K14" s="557">
        <v>0</v>
      </c>
      <c r="L14" s="557">
        <v>0</v>
      </c>
      <c r="M14" s="557">
        <v>0</v>
      </c>
      <c r="N14" s="557">
        <v>0</v>
      </c>
    </row>
    <row r="15" spans="1:14" s="75" customFormat="1" ht="21" customHeight="1" x14ac:dyDescent="0.25">
      <c r="A15" s="554" t="s">
        <v>57</v>
      </c>
      <c r="B15" s="750" t="s">
        <v>261</v>
      </c>
      <c r="C15" s="554"/>
      <c r="D15" s="206">
        <f>D16</f>
        <v>1416</v>
      </c>
      <c r="E15" s="206">
        <f t="shared" ref="E15:N15" si="5">E16</f>
        <v>241</v>
      </c>
      <c r="F15" s="206">
        <f t="shared" si="5"/>
        <v>708</v>
      </c>
      <c r="G15" s="206">
        <f t="shared" si="5"/>
        <v>57</v>
      </c>
      <c r="H15" s="206">
        <f t="shared" si="5"/>
        <v>57</v>
      </c>
      <c r="I15" s="206">
        <f t="shared" si="5"/>
        <v>63</v>
      </c>
      <c r="J15" s="206">
        <f t="shared" si="5"/>
        <v>57</v>
      </c>
      <c r="K15" s="206">
        <f t="shared" si="5"/>
        <v>92</v>
      </c>
      <c r="L15" s="206">
        <f t="shared" si="5"/>
        <v>70</v>
      </c>
      <c r="M15" s="206">
        <f t="shared" si="5"/>
        <v>71</v>
      </c>
      <c r="N15" s="206">
        <f t="shared" si="5"/>
        <v>0</v>
      </c>
    </row>
    <row r="16" spans="1:14" s="74" customFormat="1" ht="21" customHeight="1" x14ac:dyDescent="0.25">
      <c r="A16" s="558">
        <v>1</v>
      </c>
      <c r="B16" s="752" t="s">
        <v>166</v>
      </c>
      <c r="C16" s="560" t="s">
        <v>55</v>
      </c>
      <c r="D16" s="559">
        <f>SUM(E16:N16)</f>
        <v>1416</v>
      </c>
      <c r="E16" s="559">
        <f>E12+E14</f>
        <v>241</v>
      </c>
      <c r="F16" s="559">
        <f t="shared" ref="F16:N16" si="6">F12+F14</f>
        <v>708</v>
      </c>
      <c r="G16" s="559">
        <f t="shared" si="6"/>
        <v>57</v>
      </c>
      <c r="H16" s="559">
        <f t="shared" si="6"/>
        <v>57</v>
      </c>
      <c r="I16" s="559">
        <f t="shared" si="6"/>
        <v>63</v>
      </c>
      <c r="J16" s="559">
        <f t="shared" si="6"/>
        <v>57</v>
      </c>
      <c r="K16" s="559">
        <f t="shared" si="6"/>
        <v>92</v>
      </c>
      <c r="L16" s="559">
        <f t="shared" si="6"/>
        <v>70</v>
      </c>
      <c r="M16" s="559">
        <f t="shared" si="6"/>
        <v>71</v>
      </c>
      <c r="N16" s="559">
        <f t="shared" si="6"/>
        <v>0</v>
      </c>
    </row>
  </sheetData>
  <mergeCells count="3">
    <mergeCell ref="L1:N1"/>
    <mergeCell ref="A2:N2"/>
    <mergeCell ref="A3:N3"/>
  </mergeCells>
  <pageMargins left="0.59055118110236227" right="0.39370078740157483" top="0.59055118110236227" bottom="0.39370078740157483" header="0.31496062992125984" footer="0.19685039370078741"/>
  <pageSetup paperSize="9" scale="70" firstPageNumber="181" fitToHeight="0" orientation="landscape" useFirstPageNumber="1" r:id="rId1"/>
  <headerFooter>
    <oddHeader>&amp;C&amp;P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119"/>
  <sheetViews>
    <sheetView view="pageLayout" topLeftCell="A64" zoomScale="85" zoomScaleNormal="100" zoomScalePageLayoutView="85" workbookViewId="0">
      <selection activeCell="K104" sqref="K104"/>
    </sheetView>
  </sheetViews>
  <sheetFormatPr defaultColWidth="8.875" defaultRowHeight="18.75" x14ac:dyDescent="0.25"/>
  <cols>
    <col min="1" max="1" width="6.75" style="263" customWidth="1"/>
    <col min="2" max="2" width="37.625" style="231" customWidth="1"/>
    <col min="3" max="3" width="13.5" style="231" customWidth="1"/>
    <col min="4" max="4" width="8.25" style="231" customWidth="1"/>
    <col min="5" max="5" width="10.5" style="231" customWidth="1"/>
    <col min="6" max="20" width="7.875" style="231" customWidth="1"/>
    <col min="21" max="16384" width="8.875" style="231"/>
  </cols>
  <sheetData>
    <row r="1" spans="1:20" ht="36" customHeight="1" x14ac:dyDescent="0.25">
      <c r="P1" s="852" t="s">
        <v>625</v>
      </c>
      <c r="Q1" s="852"/>
      <c r="R1" s="852"/>
      <c r="S1" s="852"/>
      <c r="T1" s="852"/>
    </row>
    <row r="2" spans="1:20" ht="47.25" customHeight="1" x14ac:dyDescent="0.25">
      <c r="A2" s="760" t="s">
        <v>133</v>
      </c>
      <c r="B2" s="760"/>
      <c r="C2" s="760"/>
      <c r="D2" s="760"/>
      <c r="E2" s="760"/>
      <c r="F2" s="760"/>
      <c r="G2" s="760"/>
      <c r="H2" s="760"/>
      <c r="I2" s="760"/>
      <c r="J2" s="760"/>
      <c r="K2" s="760"/>
      <c r="L2" s="760"/>
      <c r="M2" s="760"/>
      <c r="N2" s="760"/>
      <c r="O2" s="760"/>
      <c r="P2" s="760"/>
      <c r="Q2" s="760"/>
      <c r="R2" s="760"/>
      <c r="S2" s="760"/>
      <c r="T2" s="760"/>
    </row>
    <row r="3" spans="1:20" x14ac:dyDescent="0.25">
      <c r="A3" s="761" t="str">
        <f>'B15-TDA1,DA10'!A3:N3</f>
        <v>(Kèm theo Báo cáo số:          /BC-UBND ngày          tháng 11 năm 2023 của UBND tỉnh)</v>
      </c>
      <c r="B3" s="762"/>
      <c r="C3" s="762"/>
      <c r="D3" s="762"/>
      <c r="E3" s="762"/>
      <c r="F3" s="762"/>
      <c r="G3" s="762"/>
      <c r="H3" s="762"/>
      <c r="I3" s="762"/>
      <c r="J3" s="762"/>
      <c r="K3" s="762"/>
      <c r="L3" s="762"/>
      <c r="M3" s="762"/>
      <c r="N3" s="762"/>
      <c r="O3" s="762"/>
      <c r="P3" s="762"/>
      <c r="Q3" s="762"/>
      <c r="R3" s="762"/>
      <c r="S3" s="762"/>
      <c r="T3" s="762"/>
    </row>
    <row r="4" spans="1:20" x14ac:dyDescent="0.25">
      <c r="A4" s="232"/>
      <c r="B4" s="232"/>
      <c r="C4" s="232"/>
      <c r="D4" s="232"/>
      <c r="E4" s="232"/>
      <c r="F4" s="232"/>
      <c r="G4" s="232"/>
      <c r="H4" s="232"/>
      <c r="I4" s="232"/>
      <c r="J4" s="232"/>
      <c r="K4" s="232"/>
      <c r="L4" s="232"/>
      <c r="M4" s="232"/>
      <c r="N4" s="232"/>
      <c r="O4" s="232"/>
      <c r="P4" s="232"/>
      <c r="Q4" s="232"/>
      <c r="R4" s="232"/>
      <c r="S4" s="232"/>
      <c r="T4" s="232"/>
    </row>
    <row r="5" spans="1:20" x14ac:dyDescent="0.25">
      <c r="A5" s="858" t="s">
        <v>205</v>
      </c>
      <c r="B5" s="858"/>
      <c r="C5" s="858"/>
      <c r="D5" s="858"/>
      <c r="E5" s="858"/>
      <c r="F5" s="858"/>
      <c r="G5" s="858"/>
      <c r="H5" s="858"/>
      <c r="I5" s="858"/>
      <c r="J5" s="858"/>
      <c r="K5" s="858"/>
      <c r="L5" s="858"/>
      <c r="M5" s="858"/>
      <c r="N5" s="858"/>
      <c r="O5" s="858"/>
      <c r="P5" s="858"/>
      <c r="Q5" s="858"/>
      <c r="R5" s="858"/>
      <c r="S5" s="858"/>
      <c r="T5" s="858"/>
    </row>
    <row r="6" spans="1:20" s="233" customFormat="1" ht="42.75" customHeight="1" x14ac:dyDescent="0.25">
      <c r="A6" s="859" t="s">
        <v>1</v>
      </c>
      <c r="B6" s="859" t="s">
        <v>35</v>
      </c>
      <c r="C6" s="756" t="s">
        <v>167</v>
      </c>
      <c r="D6" s="861" t="s">
        <v>168</v>
      </c>
      <c r="E6" s="861"/>
      <c r="F6" s="861"/>
      <c r="G6" s="861"/>
      <c r="H6" s="861"/>
      <c r="I6" s="861"/>
      <c r="J6" s="861"/>
      <c r="K6" s="862"/>
      <c r="L6" s="863" t="s">
        <v>169</v>
      </c>
      <c r="M6" s="864"/>
      <c r="N6" s="864"/>
      <c r="O6" s="864"/>
      <c r="P6" s="864"/>
      <c r="Q6" s="864"/>
      <c r="R6" s="864"/>
      <c r="S6" s="864"/>
      <c r="T6" s="865"/>
    </row>
    <row r="7" spans="1:20" s="235" customFormat="1" ht="69.75" customHeight="1" x14ac:dyDescent="0.25">
      <c r="A7" s="860"/>
      <c r="B7" s="860"/>
      <c r="C7" s="757"/>
      <c r="D7" s="234" t="s">
        <v>170</v>
      </c>
      <c r="E7" s="234" t="s">
        <v>171</v>
      </c>
      <c r="F7" s="234" t="s">
        <v>172</v>
      </c>
      <c r="G7" s="234" t="s">
        <v>173</v>
      </c>
      <c r="H7" s="234" t="s">
        <v>174</v>
      </c>
      <c r="I7" s="234" t="s">
        <v>175</v>
      </c>
      <c r="J7" s="234" t="s">
        <v>176</v>
      </c>
      <c r="K7" s="234" t="s">
        <v>177</v>
      </c>
      <c r="L7" s="234" t="s">
        <v>178</v>
      </c>
      <c r="M7" s="234" t="s">
        <v>170</v>
      </c>
      <c r="N7" s="234" t="s">
        <v>171</v>
      </c>
      <c r="O7" s="234" t="s">
        <v>172</v>
      </c>
      <c r="P7" s="234" t="s">
        <v>173</v>
      </c>
      <c r="Q7" s="234" t="s">
        <v>174</v>
      </c>
      <c r="R7" s="234" t="s">
        <v>175</v>
      </c>
      <c r="S7" s="234" t="s">
        <v>176</v>
      </c>
      <c r="T7" s="234" t="s">
        <v>177</v>
      </c>
    </row>
    <row r="8" spans="1:20" s="233" customFormat="1" ht="22.5" customHeight="1" x14ac:dyDescent="0.25">
      <c r="A8" s="237" t="s">
        <v>46</v>
      </c>
      <c r="B8" s="854" t="s">
        <v>30</v>
      </c>
      <c r="C8" s="854"/>
      <c r="D8" s="854"/>
      <c r="E8" s="854"/>
      <c r="F8" s="854"/>
      <c r="G8" s="854"/>
      <c r="H8" s="854"/>
      <c r="I8" s="854"/>
      <c r="J8" s="854"/>
      <c r="K8" s="854"/>
      <c r="L8" s="854"/>
      <c r="M8" s="854"/>
      <c r="N8" s="854"/>
      <c r="O8" s="854"/>
      <c r="P8" s="854"/>
      <c r="Q8" s="854"/>
      <c r="R8" s="854"/>
      <c r="S8" s="854"/>
      <c r="T8" s="854"/>
    </row>
    <row r="9" spans="1:20" s="233" customFormat="1" ht="22.5" customHeight="1" x14ac:dyDescent="0.25">
      <c r="A9" s="237"/>
      <c r="B9" s="238" t="s">
        <v>47</v>
      </c>
      <c r="C9" s="239"/>
      <c r="D9" s="239"/>
      <c r="E9" s="239"/>
      <c r="F9" s="239"/>
      <c r="G9" s="239"/>
      <c r="H9" s="239"/>
      <c r="I9" s="239"/>
      <c r="J9" s="239"/>
      <c r="K9" s="239"/>
      <c r="L9" s="239">
        <f>SUM(M9:T9)</f>
        <v>376</v>
      </c>
      <c r="M9" s="239">
        <f>M10+M11+M12</f>
        <v>47</v>
      </c>
      <c r="N9" s="239">
        <f t="shared" ref="N9:T9" si="0">N10+N11+N12</f>
        <v>53</v>
      </c>
      <c r="O9" s="239">
        <f t="shared" si="0"/>
        <v>46</v>
      </c>
      <c r="P9" s="239">
        <f t="shared" si="0"/>
        <v>47</v>
      </c>
      <c r="Q9" s="239">
        <f t="shared" si="0"/>
        <v>70</v>
      </c>
      <c r="R9" s="239">
        <f t="shared" si="0"/>
        <v>50</v>
      </c>
      <c r="S9" s="239">
        <f t="shared" si="0"/>
        <v>55</v>
      </c>
      <c r="T9" s="239">
        <f t="shared" si="0"/>
        <v>8</v>
      </c>
    </row>
    <row r="10" spans="1:20" s="243" customFormat="1" ht="22.5" customHeight="1" x14ac:dyDescent="0.25">
      <c r="A10" s="240">
        <v>1</v>
      </c>
      <c r="B10" s="241" t="s">
        <v>118</v>
      </c>
      <c r="C10" s="242">
        <v>5</v>
      </c>
      <c r="D10" s="242">
        <v>8</v>
      </c>
      <c r="E10" s="242">
        <v>8</v>
      </c>
      <c r="F10" s="242">
        <v>9</v>
      </c>
      <c r="G10" s="242">
        <v>8</v>
      </c>
      <c r="H10" s="242">
        <v>13</v>
      </c>
      <c r="I10" s="242">
        <v>10</v>
      </c>
      <c r="J10" s="242">
        <v>10</v>
      </c>
      <c r="K10" s="242"/>
      <c r="L10" s="242">
        <f>SUM(M10:T10)</f>
        <v>330</v>
      </c>
      <c r="M10" s="242">
        <f>$C10*D10</f>
        <v>40</v>
      </c>
      <c r="N10" s="242">
        <f t="shared" ref="N10:T12" si="1">$C10*E10</f>
        <v>40</v>
      </c>
      <c r="O10" s="242">
        <f t="shared" si="1"/>
        <v>45</v>
      </c>
      <c r="P10" s="242">
        <f>$C10*G10</f>
        <v>40</v>
      </c>
      <c r="Q10" s="242">
        <f t="shared" si="1"/>
        <v>65</v>
      </c>
      <c r="R10" s="242">
        <f t="shared" si="1"/>
        <v>50</v>
      </c>
      <c r="S10" s="242">
        <f t="shared" si="1"/>
        <v>50</v>
      </c>
      <c r="T10" s="242">
        <f t="shared" si="1"/>
        <v>0</v>
      </c>
    </row>
    <row r="11" spans="1:20" s="243" customFormat="1" ht="22.5" customHeight="1" x14ac:dyDescent="0.25">
      <c r="A11" s="240">
        <v>2</v>
      </c>
      <c r="B11" s="241" t="s">
        <v>119</v>
      </c>
      <c r="C11" s="242">
        <v>2</v>
      </c>
      <c r="D11" s="242">
        <v>1</v>
      </c>
      <c r="E11" s="242">
        <v>1</v>
      </c>
      <c r="F11" s="242">
        <v>0</v>
      </c>
      <c r="G11" s="242">
        <v>1</v>
      </c>
      <c r="H11" s="242">
        <v>1</v>
      </c>
      <c r="I11" s="242">
        <v>0</v>
      </c>
      <c r="J11" s="242">
        <v>0</v>
      </c>
      <c r="K11" s="242"/>
      <c r="L11" s="242">
        <f>SUM(M11:T11)</f>
        <v>8</v>
      </c>
      <c r="M11" s="242">
        <f>$C11*D11</f>
        <v>2</v>
      </c>
      <c r="N11" s="242">
        <f t="shared" si="1"/>
        <v>2</v>
      </c>
      <c r="O11" s="242">
        <f t="shared" si="1"/>
        <v>0</v>
      </c>
      <c r="P11" s="242">
        <f t="shared" si="1"/>
        <v>2</v>
      </c>
      <c r="Q11" s="242">
        <f>$C11*H11</f>
        <v>2</v>
      </c>
      <c r="R11" s="242">
        <f t="shared" si="1"/>
        <v>0</v>
      </c>
      <c r="S11" s="242">
        <f t="shared" si="1"/>
        <v>0</v>
      </c>
      <c r="T11" s="242">
        <f t="shared" si="1"/>
        <v>0</v>
      </c>
    </row>
    <row r="12" spans="1:20" s="243" customFormat="1" ht="22.5" customHeight="1" x14ac:dyDescent="0.25">
      <c r="A12" s="244">
        <v>3</v>
      </c>
      <c r="B12" s="245" t="s">
        <v>120</v>
      </c>
      <c r="C12" s="246">
        <v>1</v>
      </c>
      <c r="D12" s="246">
        <v>5</v>
      </c>
      <c r="E12" s="246">
        <v>11</v>
      </c>
      <c r="F12" s="246">
        <v>1</v>
      </c>
      <c r="G12" s="246">
        <v>5</v>
      </c>
      <c r="H12" s="246">
        <v>3</v>
      </c>
      <c r="I12" s="246">
        <v>0</v>
      </c>
      <c r="J12" s="246">
        <v>5</v>
      </c>
      <c r="K12" s="246">
        <v>8</v>
      </c>
      <c r="L12" s="246">
        <f>SUM(M12:T12)</f>
        <v>38</v>
      </c>
      <c r="M12" s="246">
        <f>$C12*D12</f>
        <v>5</v>
      </c>
      <c r="N12" s="246">
        <f t="shared" si="1"/>
        <v>11</v>
      </c>
      <c r="O12" s="246">
        <f t="shared" si="1"/>
        <v>1</v>
      </c>
      <c r="P12" s="246">
        <f t="shared" si="1"/>
        <v>5</v>
      </c>
      <c r="Q12" s="246">
        <f t="shared" si="1"/>
        <v>3</v>
      </c>
      <c r="R12" s="246">
        <f t="shared" si="1"/>
        <v>0</v>
      </c>
      <c r="S12" s="246">
        <f t="shared" si="1"/>
        <v>5</v>
      </c>
      <c r="T12" s="246">
        <f t="shared" si="1"/>
        <v>8</v>
      </c>
    </row>
    <row r="13" spans="1:20" s="243" customFormat="1" ht="22.5" customHeight="1" x14ac:dyDescent="0.25">
      <c r="A13" s="274"/>
      <c r="B13" s="261"/>
      <c r="C13" s="271"/>
      <c r="D13" s="271"/>
      <c r="E13" s="271"/>
      <c r="F13" s="271"/>
      <c r="G13" s="271"/>
      <c r="H13" s="271"/>
      <c r="I13" s="271"/>
      <c r="J13" s="271"/>
      <c r="K13" s="271"/>
      <c r="L13" s="271"/>
      <c r="M13" s="271"/>
      <c r="N13" s="271"/>
      <c r="O13" s="271"/>
      <c r="P13" s="271"/>
      <c r="Q13" s="271"/>
      <c r="R13" s="271"/>
      <c r="S13" s="271"/>
      <c r="T13" s="271"/>
    </row>
    <row r="14" spans="1:20" s="243" customFormat="1" ht="22.5" customHeight="1" x14ac:dyDescent="0.25">
      <c r="A14" s="274"/>
      <c r="B14" s="261"/>
      <c r="C14" s="271"/>
      <c r="D14" s="271"/>
      <c r="E14" s="271"/>
      <c r="F14" s="271"/>
      <c r="G14" s="271"/>
      <c r="H14" s="271"/>
      <c r="I14" s="271"/>
      <c r="J14" s="271"/>
      <c r="K14" s="271"/>
      <c r="L14" s="271"/>
      <c r="M14" s="271"/>
      <c r="N14" s="271"/>
      <c r="O14" s="271"/>
      <c r="P14" s="271"/>
      <c r="Q14" s="271"/>
      <c r="R14" s="271"/>
      <c r="S14" s="271"/>
      <c r="T14" s="271"/>
    </row>
    <row r="15" spans="1:20" s="243" customFormat="1" ht="22.5" customHeight="1" x14ac:dyDescent="0.25">
      <c r="A15" s="274"/>
      <c r="B15" s="261"/>
      <c r="C15" s="271"/>
      <c r="D15" s="271"/>
      <c r="E15" s="271"/>
      <c r="F15" s="271"/>
      <c r="G15" s="271"/>
      <c r="H15" s="271"/>
      <c r="I15" s="271"/>
      <c r="J15" s="271"/>
      <c r="K15" s="271"/>
      <c r="L15" s="271"/>
      <c r="M15" s="271"/>
      <c r="N15" s="271"/>
      <c r="O15" s="271"/>
      <c r="P15" s="271"/>
      <c r="Q15" s="271"/>
      <c r="R15" s="271"/>
      <c r="S15" s="271"/>
      <c r="T15" s="271"/>
    </row>
    <row r="16" spans="1:20" s="243" customFormat="1" ht="22.5" customHeight="1" x14ac:dyDescent="0.25">
      <c r="A16" s="274"/>
      <c r="B16" s="261"/>
      <c r="C16" s="271"/>
      <c r="D16" s="271"/>
      <c r="E16" s="271"/>
      <c r="F16" s="271"/>
      <c r="G16" s="271"/>
      <c r="H16" s="271"/>
      <c r="I16" s="271"/>
      <c r="J16" s="271"/>
      <c r="K16" s="271"/>
      <c r="L16" s="271"/>
      <c r="M16" s="271"/>
      <c r="N16" s="271"/>
      <c r="O16" s="271"/>
      <c r="P16" s="271"/>
      <c r="Q16" s="271"/>
      <c r="R16" s="271"/>
      <c r="S16" s="271"/>
      <c r="T16" s="271"/>
    </row>
    <row r="17" spans="1:20" s="243" customFormat="1" ht="22.5" customHeight="1" x14ac:dyDescent="0.25">
      <c r="A17" s="274"/>
      <c r="B17" s="261"/>
      <c r="C17" s="271"/>
      <c r="D17" s="271"/>
      <c r="E17" s="271"/>
      <c r="F17" s="271"/>
      <c r="G17" s="271"/>
      <c r="H17" s="271"/>
      <c r="I17" s="271"/>
      <c r="J17" s="271"/>
      <c r="K17" s="271"/>
      <c r="L17" s="271"/>
      <c r="M17" s="271"/>
      <c r="N17" s="271"/>
      <c r="O17" s="271"/>
      <c r="P17" s="271"/>
      <c r="Q17" s="271"/>
      <c r="R17" s="271"/>
      <c r="S17" s="271"/>
      <c r="T17" s="271"/>
    </row>
    <row r="18" spans="1:20" s="243" customFormat="1" ht="22.5" customHeight="1" x14ac:dyDescent="0.25">
      <c r="A18" s="274"/>
      <c r="B18" s="261"/>
      <c r="C18" s="271"/>
      <c r="D18" s="271"/>
      <c r="E18" s="271"/>
      <c r="F18" s="271"/>
      <c r="G18" s="271"/>
      <c r="H18" s="271"/>
      <c r="I18" s="271"/>
      <c r="J18" s="271"/>
      <c r="K18" s="271"/>
      <c r="L18" s="271"/>
      <c r="M18" s="271"/>
      <c r="N18" s="271"/>
      <c r="O18" s="271"/>
      <c r="P18" s="271"/>
      <c r="Q18" s="271"/>
      <c r="R18" s="271"/>
      <c r="S18" s="271"/>
      <c r="T18" s="271"/>
    </row>
    <row r="19" spans="1:20" s="243" customFormat="1" ht="22.5" customHeight="1" x14ac:dyDescent="0.25">
      <c r="A19" s="274"/>
      <c r="B19" s="261"/>
      <c r="C19" s="271"/>
      <c r="D19" s="271"/>
      <c r="E19" s="271"/>
      <c r="F19" s="271"/>
      <c r="G19" s="271"/>
      <c r="H19" s="271"/>
      <c r="I19" s="271"/>
      <c r="J19" s="271"/>
      <c r="K19" s="271"/>
      <c r="L19" s="271"/>
      <c r="M19" s="271"/>
      <c r="N19" s="271"/>
      <c r="O19" s="271"/>
      <c r="P19" s="271"/>
      <c r="Q19" s="271"/>
      <c r="R19" s="271"/>
      <c r="S19" s="271"/>
      <c r="T19" s="271"/>
    </row>
    <row r="20" spans="1:20" s="243" customFormat="1" ht="22.5" customHeight="1" x14ac:dyDescent="0.25">
      <c r="A20" s="274"/>
      <c r="B20" s="261"/>
      <c r="C20" s="271"/>
      <c r="D20" s="271"/>
      <c r="E20" s="271"/>
      <c r="F20" s="271"/>
      <c r="G20" s="271"/>
      <c r="H20" s="271"/>
      <c r="I20" s="271"/>
      <c r="J20" s="271"/>
      <c r="K20" s="271"/>
      <c r="L20" s="271"/>
      <c r="M20" s="271"/>
      <c r="N20" s="271"/>
      <c r="O20" s="271"/>
      <c r="P20" s="271"/>
      <c r="Q20" s="271"/>
      <c r="R20" s="271"/>
      <c r="S20" s="271"/>
      <c r="T20" s="271"/>
    </row>
    <row r="21" spans="1:20" s="243" customFormat="1" ht="22.5" customHeight="1" x14ac:dyDescent="0.25">
      <c r="A21" s="274"/>
      <c r="B21" s="261"/>
      <c r="C21" s="271"/>
      <c r="D21" s="271"/>
      <c r="E21" s="271"/>
      <c r="F21" s="271"/>
      <c r="G21" s="271"/>
      <c r="H21" s="271"/>
      <c r="I21" s="271"/>
      <c r="J21" s="271"/>
      <c r="K21" s="271"/>
      <c r="L21" s="271"/>
      <c r="M21" s="271"/>
      <c r="N21" s="271"/>
      <c r="O21" s="271"/>
      <c r="P21" s="271"/>
      <c r="Q21" s="271"/>
      <c r="R21" s="271"/>
      <c r="S21" s="271"/>
      <c r="T21" s="271"/>
    </row>
    <row r="22" spans="1:20" s="243" customFormat="1" ht="22.5" customHeight="1" x14ac:dyDescent="0.25">
      <c r="A22" s="274"/>
      <c r="B22" s="261"/>
      <c r="C22" s="271"/>
      <c r="D22" s="271"/>
      <c r="E22" s="271"/>
      <c r="F22" s="271"/>
      <c r="G22" s="271"/>
      <c r="H22" s="271"/>
      <c r="I22" s="271"/>
      <c r="J22" s="271"/>
      <c r="K22" s="271"/>
      <c r="L22" s="271"/>
      <c r="M22" s="271"/>
      <c r="N22" s="271"/>
      <c r="O22" s="271"/>
      <c r="P22" s="271"/>
      <c r="Q22" s="271"/>
      <c r="R22" s="271"/>
      <c r="S22" s="271"/>
      <c r="T22" s="271"/>
    </row>
    <row r="23" spans="1:20" s="243" customFormat="1" ht="22.5" customHeight="1" x14ac:dyDescent="0.25">
      <c r="A23" s="274"/>
      <c r="B23" s="261"/>
      <c r="C23" s="271"/>
      <c r="D23" s="271"/>
      <c r="E23" s="271"/>
      <c r="F23" s="271"/>
      <c r="G23" s="271"/>
      <c r="H23" s="271"/>
      <c r="I23" s="271"/>
      <c r="J23" s="271"/>
      <c r="K23" s="271"/>
      <c r="L23" s="271"/>
      <c r="M23" s="271"/>
      <c r="N23" s="271"/>
      <c r="O23" s="271"/>
      <c r="P23" s="271"/>
      <c r="Q23" s="271"/>
      <c r="R23" s="271"/>
      <c r="S23" s="271"/>
      <c r="T23" s="271"/>
    </row>
    <row r="24" spans="1:20" s="243" customFormat="1" ht="22.5" customHeight="1" x14ac:dyDescent="0.25">
      <c r="A24" s="274"/>
      <c r="B24" s="261"/>
      <c r="C24" s="271"/>
      <c r="D24" s="271"/>
      <c r="E24" s="271"/>
      <c r="F24" s="271"/>
      <c r="G24" s="271"/>
      <c r="H24" s="271"/>
      <c r="I24" s="271"/>
      <c r="J24" s="271"/>
      <c r="K24" s="271"/>
      <c r="L24" s="271"/>
      <c r="M24" s="271"/>
      <c r="N24" s="271"/>
      <c r="O24" s="271"/>
      <c r="P24" s="271"/>
      <c r="Q24" s="271"/>
      <c r="R24" s="271"/>
      <c r="S24" s="271"/>
      <c r="T24" s="271"/>
    </row>
    <row r="25" spans="1:20" s="243" customFormat="1" ht="22.5" customHeight="1" x14ac:dyDescent="0.25">
      <c r="A25" s="274"/>
      <c r="B25" s="261"/>
      <c r="C25" s="271"/>
      <c r="D25" s="271"/>
      <c r="E25" s="271"/>
      <c r="F25" s="271"/>
      <c r="G25" s="271"/>
      <c r="H25" s="271"/>
      <c r="I25" s="271"/>
      <c r="J25" s="271"/>
      <c r="K25" s="271"/>
      <c r="L25" s="271"/>
      <c r="M25" s="271"/>
      <c r="N25" s="271"/>
      <c r="O25" s="271"/>
      <c r="P25" s="271"/>
      <c r="Q25" s="271"/>
      <c r="R25" s="271"/>
      <c r="S25" s="271"/>
      <c r="T25" s="271"/>
    </row>
    <row r="26" spans="1:20" s="243" customFormat="1" ht="22.5" customHeight="1" x14ac:dyDescent="0.25">
      <c r="A26" s="274"/>
      <c r="B26" s="261"/>
      <c r="C26" s="271"/>
      <c r="D26" s="271"/>
      <c r="E26" s="271"/>
      <c r="F26" s="271"/>
      <c r="G26" s="271"/>
      <c r="H26" s="271"/>
      <c r="I26" s="271"/>
      <c r="J26" s="271"/>
      <c r="K26" s="271"/>
      <c r="L26" s="271"/>
      <c r="M26" s="271"/>
      <c r="N26" s="271"/>
      <c r="O26" s="271"/>
      <c r="P26" s="271"/>
      <c r="Q26" s="271"/>
      <c r="R26" s="271"/>
      <c r="S26" s="271"/>
      <c r="T26" s="271"/>
    </row>
    <row r="27" spans="1:20" s="243" customFormat="1" ht="22.5" customHeight="1" x14ac:dyDescent="0.25">
      <c r="A27" s="274"/>
      <c r="B27" s="261"/>
      <c r="C27" s="271"/>
      <c r="D27" s="271"/>
      <c r="E27" s="271"/>
      <c r="F27" s="271"/>
      <c r="G27" s="271"/>
      <c r="H27" s="271"/>
      <c r="I27" s="271"/>
      <c r="J27" s="271"/>
      <c r="K27" s="271"/>
      <c r="L27" s="271"/>
      <c r="M27" s="271"/>
      <c r="N27" s="271"/>
      <c r="O27" s="271"/>
      <c r="P27" s="271"/>
      <c r="Q27" s="271"/>
      <c r="R27" s="271"/>
      <c r="S27" s="271"/>
      <c r="T27" s="271"/>
    </row>
    <row r="28" spans="1:20" s="243" customFormat="1" ht="22.5" customHeight="1" x14ac:dyDescent="0.25">
      <c r="A28" s="274"/>
      <c r="B28" s="261"/>
      <c r="C28" s="271"/>
      <c r="D28" s="271"/>
      <c r="E28" s="271"/>
      <c r="F28" s="271"/>
      <c r="G28" s="271"/>
      <c r="H28" s="271"/>
      <c r="I28" s="271"/>
      <c r="J28" s="271"/>
      <c r="K28" s="271"/>
      <c r="L28" s="271"/>
      <c r="M28" s="271"/>
      <c r="N28" s="271"/>
      <c r="O28" s="271"/>
      <c r="P28" s="271"/>
      <c r="Q28" s="271"/>
      <c r="R28" s="271"/>
      <c r="S28" s="271"/>
      <c r="T28" s="271"/>
    </row>
    <row r="29" spans="1:20" s="243" customFormat="1" ht="22.5" customHeight="1" x14ac:dyDescent="0.25">
      <c r="A29" s="274"/>
      <c r="B29" s="261"/>
      <c r="C29" s="271"/>
      <c r="D29" s="271"/>
      <c r="E29" s="271"/>
      <c r="F29" s="271"/>
      <c r="G29" s="271"/>
      <c r="H29" s="271"/>
      <c r="I29" s="271"/>
      <c r="J29" s="271"/>
      <c r="K29" s="271"/>
      <c r="L29" s="271"/>
      <c r="M29" s="271"/>
      <c r="N29" s="271"/>
      <c r="O29" s="271"/>
      <c r="P29" s="271"/>
      <c r="Q29" s="271"/>
      <c r="R29" s="271"/>
      <c r="S29" s="271"/>
      <c r="T29" s="271"/>
    </row>
    <row r="30" spans="1:20" s="243" customFormat="1" ht="22.5" customHeight="1" x14ac:dyDescent="0.25">
      <c r="A30" s="274"/>
      <c r="B30" s="261"/>
      <c r="C30" s="271"/>
      <c r="D30" s="271"/>
      <c r="E30" s="271"/>
      <c r="F30" s="271"/>
      <c r="G30" s="271"/>
      <c r="H30" s="271"/>
      <c r="I30" s="271"/>
      <c r="J30" s="271"/>
      <c r="K30" s="271"/>
      <c r="L30" s="271"/>
      <c r="M30" s="271"/>
      <c r="N30" s="271"/>
      <c r="O30" s="271"/>
      <c r="P30" s="271"/>
      <c r="Q30" s="271"/>
      <c r="R30" s="271"/>
      <c r="S30" s="271"/>
      <c r="T30" s="271"/>
    </row>
    <row r="31" spans="1:20" s="243" customFormat="1" ht="22.5" customHeight="1" x14ac:dyDescent="0.25">
      <c r="A31" s="274"/>
      <c r="B31" s="261"/>
      <c r="C31" s="271"/>
      <c r="D31" s="271"/>
      <c r="E31" s="271"/>
      <c r="F31" s="271"/>
      <c r="G31" s="271"/>
      <c r="H31" s="271"/>
      <c r="I31" s="271"/>
      <c r="J31" s="271"/>
      <c r="K31" s="271"/>
      <c r="L31" s="271"/>
      <c r="M31" s="271"/>
      <c r="N31" s="271"/>
      <c r="O31" s="271"/>
      <c r="P31" s="271"/>
      <c r="Q31" s="271"/>
      <c r="R31" s="271"/>
      <c r="S31" s="271"/>
      <c r="T31" s="271"/>
    </row>
    <row r="32" spans="1:20" s="243" customFormat="1" ht="22.5" customHeight="1" x14ac:dyDescent="0.25">
      <c r="A32" s="274"/>
      <c r="B32" s="261"/>
      <c r="C32" s="271"/>
      <c r="D32" s="271"/>
      <c r="E32" s="271"/>
      <c r="F32" s="271"/>
      <c r="G32" s="271"/>
      <c r="H32" s="271"/>
      <c r="I32" s="271"/>
      <c r="J32" s="271"/>
      <c r="K32" s="271"/>
      <c r="L32" s="271"/>
      <c r="M32" s="271"/>
      <c r="N32" s="271"/>
      <c r="O32" s="271"/>
      <c r="P32" s="271"/>
      <c r="Q32" s="271"/>
      <c r="R32" s="271"/>
      <c r="S32" s="271"/>
      <c r="T32" s="271"/>
    </row>
    <row r="33" spans="1:24" s="243" customFormat="1" ht="22.5" customHeight="1" x14ac:dyDescent="0.25">
      <c r="A33" s="274"/>
      <c r="B33" s="261"/>
      <c r="C33" s="271"/>
      <c r="D33" s="271"/>
      <c r="E33" s="271"/>
      <c r="F33" s="271"/>
      <c r="G33" s="271"/>
      <c r="H33" s="271"/>
      <c r="I33" s="271"/>
      <c r="J33" s="271"/>
      <c r="K33" s="271"/>
      <c r="L33" s="271"/>
      <c r="M33" s="271"/>
      <c r="N33" s="271"/>
      <c r="O33" s="271"/>
      <c r="P33" s="271"/>
      <c r="Q33" s="271"/>
      <c r="R33" s="271"/>
      <c r="S33" s="271"/>
      <c r="T33" s="271"/>
    </row>
    <row r="34" spans="1:24" s="243" customFormat="1" ht="22.5" customHeight="1" x14ac:dyDescent="0.25">
      <c r="A34" s="274"/>
      <c r="B34" s="261"/>
      <c r="C34" s="271"/>
      <c r="D34" s="271"/>
      <c r="E34" s="271"/>
      <c r="F34" s="271"/>
      <c r="G34" s="271"/>
      <c r="H34" s="271"/>
      <c r="I34" s="271"/>
      <c r="J34" s="271"/>
      <c r="K34" s="271"/>
      <c r="L34" s="271"/>
      <c r="M34" s="271"/>
      <c r="N34" s="271"/>
      <c r="O34" s="271"/>
      <c r="P34" s="271"/>
      <c r="Q34" s="271"/>
      <c r="R34" s="271"/>
      <c r="S34" s="271"/>
      <c r="T34" s="271"/>
    </row>
    <row r="35" spans="1:24" s="243" customFormat="1" ht="22.5" customHeight="1" x14ac:dyDescent="0.25">
      <c r="A35" s="274"/>
      <c r="B35" s="261"/>
      <c r="C35" s="271"/>
      <c r="D35" s="271"/>
      <c r="E35" s="271"/>
      <c r="F35" s="271"/>
      <c r="G35" s="271"/>
      <c r="H35" s="271"/>
      <c r="I35" s="271"/>
      <c r="J35" s="271"/>
      <c r="K35" s="271"/>
      <c r="L35" s="271"/>
      <c r="M35" s="271"/>
      <c r="N35" s="271"/>
      <c r="O35" s="271"/>
      <c r="P35" s="271"/>
      <c r="Q35" s="271"/>
      <c r="R35" s="271"/>
      <c r="S35" s="271"/>
      <c r="T35" s="271"/>
    </row>
    <row r="36" spans="1:24" s="243" customFormat="1" ht="32.25" customHeight="1" x14ac:dyDescent="0.25">
      <c r="A36" s="855" t="s">
        <v>179</v>
      </c>
      <c r="B36" s="855"/>
      <c r="C36" s="855"/>
      <c r="D36" s="855"/>
      <c r="E36" s="855"/>
      <c r="F36" s="855"/>
      <c r="G36" s="855"/>
      <c r="H36" s="855"/>
      <c r="I36" s="855"/>
      <c r="J36" s="855"/>
      <c r="K36" s="855"/>
      <c r="L36" s="855"/>
      <c r="M36" s="855"/>
      <c r="P36" s="852" t="s">
        <v>625</v>
      </c>
      <c r="Q36" s="852"/>
      <c r="R36" s="852"/>
      <c r="S36" s="852"/>
      <c r="T36" s="852"/>
    </row>
    <row r="37" spans="1:24" s="243" customFormat="1" ht="32.25" customHeight="1" x14ac:dyDescent="0.25">
      <c r="A37" s="856" t="s">
        <v>206</v>
      </c>
      <c r="B37" s="856"/>
      <c r="C37" s="856"/>
      <c r="D37" s="856"/>
      <c r="E37" s="856"/>
      <c r="F37" s="856"/>
      <c r="G37" s="856"/>
      <c r="H37" s="856"/>
      <c r="I37" s="856"/>
      <c r="J37" s="856"/>
      <c r="K37" s="856"/>
      <c r="L37" s="856"/>
      <c r="M37" s="856"/>
      <c r="N37" s="856"/>
      <c r="O37" s="856"/>
      <c r="P37" s="856"/>
      <c r="Q37" s="856"/>
      <c r="R37" s="856"/>
      <c r="S37" s="856"/>
      <c r="T37" s="856"/>
    </row>
    <row r="38" spans="1:24" s="243" customFormat="1" ht="22.5" customHeight="1" x14ac:dyDescent="0.25">
      <c r="A38" s="867" t="s">
        <v>1</v>
      </c>
      <c r="B38" s="867" t="s">
        <v>36</v>
      </c>
      <c r="C38" s="867" t="s">
        <v>33</v>
      </c>
      <c r="D38" s="867" t="s">
        <v>201</v>
      </c>
      <c r="E38" s="867"/>
      <c r="F38" s="867"/>
      <c r="G38" s="867"/>
      <c r="H38" s="251"/>
      <c r="I38" s="251"/>
      <c r="J38" s="251"/>
      <c r="K38" s="251"/>
      <c r="L38" s="251"/>
      <c r="M38" s="251"/>
      <c r="N38" s="251"/>
      <c r="O38" s="251"/>
      <c r="P38" s="251"/>
      <c r="Q38" s="251"/>
      <c r="R38" s="251"/>
      <c r="S38" s="251"/>
      <c r="T38" s="251"/>
    </row>
    <row r="39" spans="1:24" s="236" customFormat="1" ht="40.5" customHeight="1" x14ac:dyDescent="0.25">
      <c r="A39" s="867"/>
      <c r="B39" s="867"/>
      <c r="C39" s="867"/>
      <c r="D39" s="867" t="s">
        <v>144</v>
      </c>
      <c r="E39" s="867"/>
      <c r="F39" s="867" t="s">
        <v>145</v>
      </c>
      <c r="G39" s="867"/>
      <c r="H39" s="259"/>
      <c r="I39" s="627">
        <v>2352</v>
      </c>
      <c r="J39" s="259"/>
      <c r="K39" s="259"/>
      <c r="L39" s="259"/>
      <c r="M39" s="259"/>
      <c r="N39" s="247"/>
      <c r="O39" s="247"/>
      <c r="P39" s="247"/>
      <c r="Q39" s="247"/>
      <c r="R39" s="247"/>
      <c r="S39" s="247"/>
      <c r="T39" s="247"/>
      <c r="U39" s="247"/>
      <c r="V39" s="247"/>
      <c r="W39" s="247"/>
      <c r="X39" s="247"/>
    </row>
    <row r="40" spans="1:24" s="236" customFormat="1" ht="40.5" customHeight="1" x14ac:dyDescent="0.25">
      <c r="A40" s="867"/>
      <c r="B40" s="867"/>
      <c r="C40" s="867"/>
      <c r="D40" s="234" t="s">
        <v>207</v>
      </c>
      <c r="E40" s="234" t="s">
        <v>208</v>
      </c>
      <c r="F40" s="234" t="s">
        <v>207</v>
      </c>
      <c r="G40" s="234" t="s">
        <v>208</v>
      </c>
      <c r="H40" s="247"/>
      <c r="I40" s="247"/>
      <c r="J40" s="247"/>
      <c r="K40" s="247"/>
      <c r="L40" s="247"/>
      <c r="M40" s="247"/>
      <c r="N40" s="247"/>
      <c r="O40" s="247"/>
      <c r="P40" s="247"/>
      <c r="Q40" s="247"/>
      <c r="R40" s="247"/>
      <c r="S40" s="247"/>
      <c r="T40" s="247"/>
      <c r="U40" s="247"/>
      <c r="V40" s="247"/>
      <c r="W40" s="247"/>
      <c r="X40" s="247"/>
    </row>
    <row r="41" spans="1:24" s="233" customFormat="1" ht="25.5" customHeight="1" x14ac:dyDescent="0.25">
      <c r="A41" s="873" t="s">
        <v>34</v>
      </c>
      <c r="B41" s="873"/>
      <c r="C41" s="277">
        <f>SUM(C42:C65)</f>
        <v>1096</v>
      </c>
      <c r="D41" s="278">
        <f>SUM(D42:D65)</f>
        <v>0.44000000000000017</v>
      </c>
      <c r="E41" s="277">
        <f>SUM(E42:E65)</f>
        <v>1045</v>
      </c>
      <c r="F41" s="277"/>
      <c r="G41" s="277">
        <f>SUM(G42:G65)</f>
        <v>51</v>
      </c>
      <c r="H41" s="276"/>
      <c r="I41" s="266"/>
      <c r="J41" s="268"/>
      <c r="K41" s="267"/>
      <c r="L41" s="269"/>
      <c r="M41" s="269"/>
      <c r="N41" s="251"/>
      <c r="O41" s="251"/>
      <c r="P41" s="251"/>
      <c r="Q41" s="251"/>
      <c r="R41" s="251"/>
      <c r="S41" s="251"/>
      <c r="T41" s="251"/>
      <c r="U41" s="251"/>
      <c r="V41" s="251"/>
    </row>
    <row r="42" spans="1:24" s="243" customFormat="1" ht="19.5" customHeight="1" x14ac:dyDescent="0.25">
      <c r="A42" s="240">
        <v>1</v>
      </c>
      <c r="B42" s="249" t="s">
        <v>129</v>
      </c>
      <c r="C42" s="279">
        <f>E42+G42</f>
        <v>261</v>
      </c>
      <c r="D42" s="280">
        <v>0.105</v>
      </c>
      <c r="E42" s="281">
        <f>ROUND(D42*$I$39,0)</f>
        <v>247</v>
      </c>
      <c r="F42" s="566">
        <v>5.6529999999999997E-2</v>
      </c>
      <c r="G42" s="250">
        <f>ROUND(E42*F42,0)</f>
        <v>14</v>
      </c>
      <c r="H42" s="270"/>
      <c r="I42" s="271"/>
      <c r="J42" s="271"/>
      <c r="K42" s="272"/>
      <c r="L42" s="273"/>
      <c r="M42" s="273"/>
      <c r="N42" s="248"/>
      <c r="O42" s="248"/>
      <c r="P42" s="248"/>
      <c r="Q42" s="248"/>
      <c r="R42" s="248"/>
      <c r="S42" s="248"/>
      <c r="T42" s="248"/>
      <c r="U42" s="248"/>
      <c r="V42" s="248"/>
      <c r="W42" s="248"/>
      <c r="X42" s="248"/>
    </row>
    <row r="43" spans="1:24" s="243" customFormat="1" ht="19.5" customHeight="1" x14ac:dyDescent="0.25">
      <c r="A43" s="240">
        <v>2</v>
      </c>
      <c r="B43" s="249" t="s">
        <v>182</v>
      </c>
      <c r="C43" s="279">
        <f t="shared" ref="C43:C65" si="2">E43+G43</f>
        <v>62</v>
      </c>
      <c r="D43" s="280">
        <v>2.5000000000000001E-2</v>
      </c>
      <c r="E43" s="281">
        <f t="shared" ref="E43:E65" si="3">ROUND(D43*$I$39,0)</f>
        <v>59</v>
      </c>
      <c r="F43" s="566">
        <v>5.6529999999999997E-2</v>
      </c>
      <c r="G43" s="250">
        <f t="shared" ref="G43:G65" si="4">ROUND(E43*F43,0)</f>
        <v>3</v>
      </c>
      <c r="H43" s="274"/>
      <c r="I43" s="271"/>
      <c r="J43" s="271"/>
      <c r="K43" s="272"/>
      <c r="L43" s="273"/>
      <c r="M43" s="273"/>
      <c r="N43" s="248"/>
      <c r="O43" s="248"/>
      <c r="P43" s="248"/>
      <c r="Q43" s="248"/>
      <c r="R43" s="248"/>
      <c r="S43" s="248"/>
      <c r="T43" s="248"/>
      <c r="U43" s="248"/>
      <c r="V43" s="248"/>
      <c r="W43" s="248"/>
      <c r="X43" s="248"/>
    </row>
    <row r="44" spans="1:24" s="243" customFormat="1" ht="19.5" customHeight="1" x14ac:dyDescent="0.25">
      <c r="A44" s="240">
        <v>3</v>
      </c>
      <c r="B44" s="249" t="s">
        <v>183</v>
      </c>
      <c r="C44" s="279">
        <f t="shared" si="2"/>
        <v>25</v>
      </c>
      <c r="D44" s="282">
        <v>0.01</v>
      </c>
      <c r="E44" s="281">
        <f t="shared" si="3"/>
        <v>24</v>
      </c>
      <c r="F44" s="566">
        <v>5.6529999999999997E-2</v>
      </c>
      <c r="G44" s="250">
        <f t="shared" si="4"/>
        <v>1</v>
      </c>
      <c r="H44" s="274"/>
      <c r="I44" s="271"/>
      <c r="J44" s="271"/>
      <c r="K44" s="270"/>
      <c r="L44" s="273"/>
      <c r="M44" s="273"/>
      <c r="N44" s="248"/>
      <c r="O44" s="248"/>
      <c r="P44" s="248"/>
      <c r="Q44" s="248"/>
      <c r="R44" s="248"/>
      <c r="S44" s="248"/>
      <c r="T44" s="248"/>
      <c r="U44" s="248"/>
      <c r="V44" s="248"/>
      <c r="W44" s="248"/>
      <c r="X44" s="248"/>
    </row>
    <row r="45" spans="1:24" s="243" customFormat="1" ht="19.5" customHeight="1" x14ac:dyDescent="0.25">
      <c r="A45" s="240">
        <v>4</v>
      </c>
      <c r="B45" s="249" t="s">
        <v>184</v>
      </c>
      <c r="C45" s="279">
        <f t="shared" si="2"/>
        <v>25</v>
      </c>
      <c r="D45" s="282">
        <v>0.01</v>
      </c>
      <c r="E45" s="281">
        <f t="shared" si="3"/>
        <v>24</v>
      </c>
      <c r="F45" s="566">
        <v>5.6529999999999997E-2</v>
      </c>
      <c r="G45" s="250">
        <f t="shared" si="4"/>
        <v>1</v>
      </c>
      <c r="H45" s="274"/>
      <c r="I45" s="271"/>
      <c r="J45" s="271"/>
      <c r="K45" s="270"/>
      <c r="L45" s="273"/>
      <c r="M45" s="273"/>
      <c r="N45" s="248"/>
      <c r="O45" s="248"/>
      <c r="P45" s="248"/>
      <c r="Q45" s="248"/>
      <c r="R45" s="248"/>
      <c r="S45" s="248"/>
      <c r="T45" s="248"/>
      <c r="U45" s="248"/>
      <c r="V45" s="248"/>
      <c r="W45" s="248"/>
      <c r="X45" s="248"/>
    </row>
    <row r="46" spans="1:24" s="243" customFormat="1" ht="19.5" customHeight="1" x14ac:dyDescent="0.25">
      <c r="A46" s="240">
        <v>5</v>
      </c>
      <c r="B46" s="249" t="s">
        <v>92</v>
      </c>
      <c r="C46" s="279">
        <f t="shared" si="2"/>
        <v>25</v>
      </c>
      <c r="D46" s="282">
        <v>0.01</v>
      </c>
      <c r="E46" s="281">
        <f t="shared" si="3"/>
        <v>24</v>
      </c>
      <c r="F46" s="566">
        <v>5.6529999999999997E-2</v>
      </c>
      <c r="G46" s="250">
        <f t="shared" si="4"/>
        <v>1</v>
      </c>
      <c r="H46" s="274"/>
      <c r="I46" s="271"/>
      <c r="J46" s="271"/>
      <c r="K46" s="270"/>
      <c r="L46" s="273"/>
      <c r="M46" s="273"/>
      <c r="N46" s="248"/>
      <c r="O46" s="248"/>
      <c r="P46" s="248"/>
      <c r="Q46" s="248"/>
      <c r="R46" s="248"/>
      <c r="S46" s="248"/>
      <c r="T46" s="248"/>
      <c r="U46" s="248"/>
      <c r="V46" s="248"/>
      <c r="W46" s="248"/>
      <c r="X46" s="248"/>
    </row>
    <row r="47" spans="1:24" s="243" customFormat="1" ht="19.5" customHeight="1" x14ac:dyDescent="0.25">
      <c r="A47" s="240">
        <v>6</v>
      </c>
      <c r="B47" s="249" t="s">
        <v>158</v>
      </c>
      <c r="C47" s="279">
        <f t="shared" si="2"/>
        <v>25</v>
      </c>
      <c r="D47" s="282">
        <v>0.01</v>
      </c>
      <c r="E47" s="281">
        <f t="shared" si="3"/>
        <v>24</v>
      </c>
      <c r="F47" s="566">
        <v>5.6529999999999997E-2</v>
      </c>
      <c r="G47" s="250">
        <f t="shared" si="4"/>
        <v>1</v>
      </c>
      <c r="H47" s="274"/>
      <c r="I47" s="271"/>
      <c r="J47" s="271"/>
      <c r="K47" s="270"/>
      <c r="L47" s="273"/>
      <c r="M47" s="273"/>
      <c r="N47" s="248"/>
      <c r="O47" s="248"/>
      <c r="P47" s="248"/>
      <c r="Q47" s="248"/>
      <c r="R47" s="248"/>
      <c r="S47" s="248"/>
      <c r="T47" s="248"/>
      <c r="U47" s="248"/>
      <c r="V47" s="248"/>
      <c r="W47" s="248"/>
      <c r="X47" s="248"/>
    </row>
    <row r="48" spans="1:24" s="243" customFormat="1" ht="19.5" customHeight="1" x14ac:dyDescent="0.25">
      <c r="A48" s="240">
        <v>7</v>
      </c>
      <c r="B48" s="249" t="s">
        <v>117</v>
      </c>
      <c r="C48" s="279">
        <f t="shared" si="2"/>
        <v>25</v>
      </c>
      <c r="D48" s="282">
        <v>0.01</v>
      </c>
      <c r="E48" s="281">
        <f t="shared" si="3"/>
        <v>24</v>
      </c>
      <c r="F48" s="566">
        <v>5.6529999999999997E-2</v>
      </c>
      <c r="G48" s="250">
        <f t="shared" si="4"/>
        <v>1</v>
      </c>
      <c r="H48" s="274"/>
      <c r="I48" s="271"/>
      <c r="J48" s="271"/>
      <c r="K48" s="270"/>
      <c r="L48" s="273"/>
      <c r="M48" s="273"/>
      <c r="N48" s="248"/>
      <c r="O48" s="248"/>
      <c r="P48" s="248"/>
      <c r="Q48" s="248"/>
      <c r="R48" s="248"/>
      <c r="S48" s="248"/>
      <c r="T48" s="248"/>
      <c r="U48" s="248"/>
      <c r="V48" s="248"/>
      <c r="W48" s="248"/>
      <c r="X48" s="248"/>
    </row>
    <row r="49" spans="1:24" s="243" customFormat="1" ht="19.5" customHeight="1" x14ac:dyDescent="0.25">
      <c r="A49" s="240">
        <v>8</v>
      </c>
      <c r="B49" s="249" t="s">
        <v>121</v>
      </c>
      <c r="C49" s="279">
        <f t="shared" si="2"/>
        <v>25</v>
      </c>
      <c r="D49" s="282">
        <v>0.01</v>
      </c>
      <c r="E49" s="281">
        <f t="shared" si="3"/>
        <v>24</v>
      </c>
      <c r="F49" s="566">
        <v>5.6529999999999997E-2</v>
      </c>
      <c r="G49" s="250">
        <f t="shared" si="4"/>
        <v>1</v>
      </c>
      <c r="H49" s="274"/>
      <c r="I49" s="271"/>
      <c r="J49" s="271"/>
      <c r="K49" s="270"/>
      <c r="L49" s="273"/>
      <c r="M49" s="273"/>
      <c r="N49" s="248"/>
      <c r="O49" s="248"/>
      <c r="P49" s="248"/>
      <c r="Q49" s="248"/>
      <c r="R49" s="248"/>
      <c r="S49" s="248"/>
      <c r="T49" s="248"/>
      <c r="U49" s="248"/>
      <c r="V49" s="248"/>
      <c r="W49" s="248"/>
      <c r="X49" s="248"/>
    </row>
    <row r="50" spans="1:24" s="243" customFormat="1" ht="19.5" customHeight="1" x14ac:dyDescent="0.25">
      <c r="A50" s="240">
        <v>9</v>
      </c>
      <c r="B50" s="249" t="s">
        <v>185</v>
      </c>
      <c r="C50" s="279">
        <f t="shared" si="2"/>
        <v>25</v>
      </c>
      <c r="D50" s="282">
        <v>0.01</v>
      </c>
      <c r="E50" s="281">
        <f t="shared" si="3"/>
        <v>24</v>
      </c>
      <c r="F50" s="566">
        <v>5.6529999999999997E-2</v>
      </c>
      <c r="G50" s="250">
        <f t="shared" si="4"/>
        <v>1</v>
      </c>
      <c r="H50" s="274"/>
      <c r="I50" s="271"/>
      <c r="J50" s="271"/>
      <c r="K50" s="270"/>
      <c r="L50" s="273"/>
      <c r="M50" s="273"/>
      <c r="N50" s="248"/>
      <c r="O50" s="248"/>
      <c r="P50" s="248"/>
      <c r="Q50" s="248"/>
      <c r="R50" s="248"/>
      <c r="S50" s="248"/>
      <c r="T50" s="248"/>
      <c r="U50" s="248"/>
      <c r="V50" s="248"/>
      <c r="W50" s="248"/>
      <c r="X50" s="248"/>
    </row>
    <row r="51" spans="1:24" s="243" customFormat="1" ht="19.5" customHeight="1" x14ac:dyDescent="0.25">
      <c r="A51" s="240">
        <v>10</v>
      </c>
      <c r="B51" s="249" t="s">
        <v>186</v>
      </c>
      <c r="C51" s="279">
        <f t="shared" si="2"/>
        <v>248</v>
      </c>
      <c r="D51" s="282">
        <v>0.1</v>
      </c>
      <c r="E51" s="281">
        <f t="shared" si="3"/>
        <v>235</v>
      </c>
      <c r="F51" s="566">
        <v>5.6529999999999997E-2</v>
      </c>
      <c r="G51" s="250">
        <f t="shared" si="4"/>
        <v>13</v>
      </c>
      <c r="H51" s="274"/>
      <c r="I51" s="271"/>
      <c r="J51" s="271"/>
      <c r="K51" s="270"/>
      <c r="L51" s="273"/>
      <c r="M51" s="273"/>
      <c r="N51" s="248"/>
      <c r="O51" s="248"/>
      <c r="P51" s="248"/>
      <c r="Q51" s="248"/>
      <c r="R51" s="248"/>
      <c r="S51" s="248"/>
      <c r="T51" s="248"/>
      <c r="U51" s="248"/>
      <c r="V51" s="248"/>
      <c r="W51" s="248"/>
      <c r="X51" s="248"/>
    </row>
    <row r="52" spans="1:24" s="243" customFormat="1" ht="19.5" customHeight="1" x14ac:dyDescent="0.25">
      <c r="A52" s="240">
        <v>11</v>
      </c>
      <c r="B52" s="249" t="s">
        <v>187</v>
      </c>
      <c r="C52" s="279">
        <f t="shared" si="2"/>
        <v>25</v>
      </c>
      <c r="D52" s="282">
        <v>0.01</v>
      </c>
      <c r="E52" s="281">
        <f t="shared" si="3"/>
        <v>24</v>
      </c>
      <c r="F52" s="566">
        <v>5.6529999999999997E-2</v>
      </c>
      <c r="G52" s="250">
        <f t="shared" si="4"/>
        <v>1</v>
      </c>
      <c r="H52" s="274"/>
      <c r="I52" s="271"/>
      <c r="J52" s="271"/>
      <c r="K52" s="270"/>
      <c r="L52" s="273"/>
      <c r="M52" s="273"/>
      <c r="N52" s="248"/>
      <c r="O52" s="248"/>
      <c r="P52" s="248"/>
      <c r="Q52" s="248"/>
      <c r="R52" s="248"/>
      <c r="S52" s="248"/>
      <c r="T52" s="248"/>
      <c r="U52" s="248"/>
      <c r="V52" s="248"/>
      <c r="W52" s="248"/>
      <c r="X52" s="248"/>
    </row>
    <row r="53" spans="1:24" s="243" customFormat="1" ht="19.5" customHeight="1" x14ac:dyDescent="0.25">
      <c r="A53" s="240">
        <v>12</v>
      </c>
      <c r="B53" s="249" t="s">
        <v>137</v>
      </c>
      <c r="C53" s="279">
        <f t="shared" si="2"/>
        <v>25</v>
      </c>
      <c r="D53" s="282">
        <v>0.01</v>
      </c>
      <c r="E53" s="281">
        <f t="shared" si="3"/>
        <v>24</v>
      </c>
      <c r="F53" s="566">
        <v>5.6529999999999997E-2</v>
      </c>
      <c r="G53" s="250">
        <f t="shared" si="4"/>
        <v>1</v>
      </c>
      <c r="H53" s="274"/>
      <c r="I53" s="271"/>
      <c r="J53" s="271"/>
      <c r="K53" s="270"/>
      <c r="L53" s="273"/>
      <c r="M53" s="273"/>
      <c r="N53" s="248"/>
      <c r="O53" s="248"/>
      <c r="P53" s="248"/>
      <c r="Q53" s="248"/>
      <c r="R53" s="248"/>
      <c r="S53" s="248"/>
      <c r="T53" s="248"/>
      <c r="U53" s="248"/>
      <c r="V53" s="248"/>
      <c r="W53" s="248"/>
      <c r="X53" s="248"/>
    </row>
    <row r="54" spans="1:24" s="243" customFormat="1" ht="19.5" customHeight="1" x14ac:dyDescent="0.25">
      <c r="A54" s="240">
        <v>13</v>
      </c>
      <c r="B54" s="249" t="s">
        <v>188</v>
      </c>
      <c r="C54" s="279">
        <f t="shared" si="2"/>
        <v>25</v>
      </c>
      <c r="D54" s="282">
        <v>0.01</v>
      </c>
      <c r="E54" s="281">
        <f t="shared" si="3"/>
        <v>24</v>
      </c>
      <c r="F54" s="566">
        <v>5.6529999999999997E-2</v>
      </c>
      <c r="G54" s="250">
        <f t="shared" si="4"/>
        <v>1</v>
      </c>
      <c r="H54" s="274"/>
      <c r="I54" s="271"/>
      <c r="J54" s="271"/>
      <c r="K54" s="270"/>
      <c r="L54" s="273"/>
      <c r="M54" s="273"/>
      <c r="N54" s="248"/>
      <c r="O54" s="248"/>
      <c r="P54" s="248"/>
      <c r="Q54" s="248"/>
      <c r="R54" s="248"/>
      <c r="S54" s="248"/>
      <c r="T54" s="248"/>
      <c r="U54" s="248"/>
      <c r="V54" s="248"/>
      <c r="W54" s="248"/>
      <c r="X54" s="248"/>
    </row>
    <row r="55" spans="1:24" s="243" customFormat="1" ht="19.5" customHeight="1" x14ac:dyDescent="0.25">
      <c r="A55" s="240">
        <v>14</v>
      </c>
      <c r="B55" s="249" t="s">
        <v>189</v>
      </c>
      <c r="C55" s="279">
        <f t="shared" si="2"/>
        <v>25</v>
      </c>
      <c r="D55" s="282">
        <v>0.01</v>
      </c>
      <c r="E55" s="281">
        <f t="shared" si="3"/>
        <v>24</v>
      </c>
      <c r="F55" s="566">
        <v>5.6529999999999997E-2</v>
      </c>
      <c r="G55" s="250">
        <f t="shared" si="4"/>
        <v>1</v>
      </c>
      <c r="H55" s="274"/>
      <c r="I55" s="271"/>
      <c r="J55" s="271"/>
      <c r="K55" s="270"/>
      <c r="L55" s="273"/>
      <c r="M55" s="273"/>
      <c r="N55" s="248"/>
      <c r="O55" s="248"/>
      <c r="P55" s="248"/>
      <c r="Q55" s="248"/>
      <c r="R55" s="248"/>
      <c r="S55" s="248"/>
      <c r="T55" s="248"/>
      <c r="U55" s="248"/>
      <c r="V55" s="248"/>
      <c r="W55" s="248"/>
      <c r="X55" s="248"/>
    </row>
    <row r="56" spans="1:24" s="243" customFormat="1" ht="19.5" customHeight="1" x14ac:dyDescent="0.25">
      <c r="A56" s="240">
        <v>15</v>
      </c>
      <c r="B56" s="249" t="s">
        <v>190</v>
      </c>
      <c r="C56" s="279">
        <f t="shared" si="2"/>
        <v>25</v>
      </c>
      <c r="D56" s="282">
        <v>0.01</v>
      </c>
      <c r="E56" s="281">
        <f t="shared" si="3"/>
        <v>24</v>
      </c>
      <c r="F56" s="566">
        <v>5.6529999999999997E-2</v>
      </c>
      <c r="G56" s="250">
        <f t="shared" si="4"/>
        <v>1</v>
      </c>
      <c r="H56" s="274"/>
      <c r="I56" s="271"/>
      <c r="J56" s="271"/>
      <c r="K56" s="270"/>
      <c r="L56" s="273"/>
      <c r="M56" s="273"/>
      <c r="N56" s="248"/>
      <c r="O56" s="248"/>
      <c r="P56" s="248"/>
      <c r="Q56" s="248"/>
      <c r="R56" s="248"/>
      <c r="S56" s="248"/>
      <c r="T56" s="248"/>
      <c r="U56" s="248"/>
      <c r="V56" s="248"/>
      <c r="W56" s="248"/>
      <c r="X56" s="248"/>
    </row>
    <row r="57" spans="1:24" s="243" customFormat="1" ht="19.5" customHeight="1" x14ac:dyDescent="0.25">
      <c r="A57" s="240">
        <v>16</v>
      </c>
      <c r="B57" s="249" t="s">
        <v>89</v>
      </c>
      <c r="C57" s="279">
        <f t="shared" si="2"/>
        <v>25</v>
      </c>
      <c r="D57" s="282">
        <v>0.01</v>
      </c>
      <c r="E57" s="281">
        <f t="shared" si="3"/>
        <v>24</v>
      </c>
      <c r="F57" s="566">
        <v>5.6529999999999997E-2</v>
      </c>
      <c r="G57" s="250">
        <f t="shared" si="4"/>
        <v>1</v>
      </c>
      <c r="H57" s="274"/>
      <c r="I57" s="271"/>
      <c r="J57" s="271"/>
      <c r="K57" s="270"/>
      <c r="L57" s="273"/>
      <c r="M57" s="273"/>
      <c r="N57" s="248"/>
      <c r="O57" s="248"/>
      <c r="P57" s="248"/>
      <c r="Q57" s="248"/>
      <c r="R57" s="248"/>
      <c r="S57" s="248"/>
      <c r="T57" s="248"/>
      <c r="U57" s="248"/>
      <c r="V57" s="248"/>
      <c r="W57" s="248"/>
      <c r="X57" s="248"/>
    </row>
    <row r="58" spans="1:24" s="243" customFormat="1" ht="19.5" customHeight="1" x14ac:dyDescent="0.25">
      <c r="A58" s="240">
        <v>17</v>
      </c>
      <c r="B58" s="249" t="s">
        <v>191</v>
      </c>
      <c r="C58" s="279">
        <f t="shared" si="2"/>
        <v>25</v>
      </c>
      <c r="D58" s="282">
        <v>0.01</v>
      </c>
      <c r="E58" s="281">
        <f t="shared" si="3"/>
        <v>24</v>
      </c>
      <c r="F58" s="566">
        <v>5.6529999999999997E-2</v>
      </c>
      <c r="G58" s="250">
        <f t="shared" si="4"/>
        <v>1</v>
      </c>
      <c r="H58" s="274"/>
      <c r="I58" s="271"/>
      <c r="J58" s="271"/>
      <c r="K58" s="270"/>
      <c r="L58" s="273"/>
      <c r="M58" s="273"/>
      <c r="N58" s="248"/>
      <c r="O58" s="248"/>
      <c r="P58" s="248"/>
      <c r="Q58" s="248"/>
      <c r="R58" s="248"/>
      <c r="S58" s="248"/>
      <c r="T58" s="248"/>
      <c r="U58" s="248"/>
      <c r="V58" s="248"/>
      <c r="W58" s="248"/>
      <c r="X58" s="248"/>
    </row>
    <row r="59" spans="1:24" s="243" customFormat="1" ht="19.5" customHeight="1" x14ac:dyDescent="0.25">
      <c r="A59" s="240">
        <v>18</v>
      </c>
      <c r="B59" s="249" t="s">
        <v>209</v>
      </c>
      <c r="C59" s="279">
        <f t="shared" si="2"/>
        <v>25</v>
      </c>
      <c r="D59" s="282">
        <v>0.01</v>
      </c>
      <c r="E59" s="281">
        <f t="shared" si="3"/>
        <v>24</v>
      </c>
      <c r="F59" s="566">
        <v>5.6529999999999997E-2</v>
      </c>
      <c r="G59" s="250">
        <f t="shared" si="4"/>
        <v>1</v>
      </c>
      <c r="H59" s="274"/>
      <c r="I59" s="271"/>
      <c r="J59" s="271"/>
      <c r="K59" s="270"/>
      <c r="L59" s="273"/>
      <c r="M59" s="273"/>
      <c r="N59" s="248"/>
      <c r="O59" s="248"/>
      <c r="P59" s="248"/>
      <c r="Q59" s="248"/>
      <c r="R59" s="248"/>
      <c r="S59" s="248"/>
      <c r="T59" s="248"/>
      <c r="U59" s="248"/>
      <c r="V59" s="248"/>
      <c r="W59" s="248"/>
      <c r="X59" s="248"/>
    </row>
    <row r="60" spans="1:24" s="243" customFormat="1" ht="19.5" customHeight="1" x14ac:dyDescent="0.25">
      <c r="A60" s="240">
        <v>19</v>
      </c>
      <c r="B60" s="249" t="s">
        <v>131</v>
      </c>
      <c r="C60" s="279">
        <f t="shared" si="2"/>
        <v>25</v>
      </c>
      <c r="D60" s="282">
        <v>0.01</v>
      </c>
      <c r="E60" s="281">
        <f t="shared" si="3"/>
        <v>24</v>
      </c>
      <c r="F60" s="566">
        <v>5.6529999999999997E-2</v>
      </c>
      <c r="G60" s="250">
        <f t="shared" si="4"/>
        <v>1</v>
      </c>
      <c r="H60" s="274"/>
      <c r="I60" s="271"/>
      <c r="J60" s="271"/>
      <c r="K60" s="270"/>
      <c r="L60" s="273"/>
      <c r="M60" s="273"/>
      <c r="N60" s="248"/>
      <c r="O60" s="248"/>
      <c r="P60" s="248"/>
      <c r="Q60" s="248"/>
      <c r="R60" s="248"/>
      <c r="S60" s="248"/>
      <c r="T60" s="248"/>
      <c r="U60" s="248"/>
      <c r="V60" s="248"/>
      <c r="W60" s="248"/>
      <c r="X60" s="248"/>
    </row>
    <row r="61" spans="1:24" s="243" customFormat="1" ht="19.5" customHeight="1" x14ac:dyDescent="0.25">
      <c r="A61" s="240">
        <v>20</v>
      </c>
      <c r="B61" s="249" t="s">
        <v>181</v>
      </c>
      <c r="C61" s="279">
        <f>E61+G61</f>
        <v>25</v>
      </c>
      <c r="D61" s="282">
        <v>0.01</v>
      </c>
      <c r="E61" s="281">
        <f t="shared" si="3"/>
        <v>24</v>
      </c>
      <c r="F61" s="566">
        <v>5.6529999999999997E-2</v>
      </c>
      <c r="G61" s="250">
        <f t="shared" si="4"/>
        <v>1</v>
      </c>
      <c r="H61" s="270"/>
      <c r="I61" s="275"/>
      <c r="J61" s="271"/>
      <c r="K61" s="270"/>
      <c r="L61" s="273"/>
      <c r="M61" s="273"/>
      <c r="N61" s="248"/>
      <c r="O61" s="248"/>
      <c r="P61" s="248"/>
      <c r="Q61" s="248"/>
      <c r="R61" s="248"/>
      <c r="S61" s="248"/>
      <c r="T61" s="248"/>
      <c r="U61" s="248"/>
      <c r="V61" s="248"/>
      <c r="W61" s="248"/>
      <c r="X61" s="248"/>
    </row>
    <row r="62" spans="1:24" s="243" customFormat="1" ht="19.5" customHeight="1" x14ac:dyDescent="0.25">
      <c r="A62" s="240">
        <v>21</v>
      </c>
      <c r="B62" s="249" t="s">
        <v>192</v>
      </c>
      <c r="C62" s="279">
        <f t="shared" si="2"/>
        <v>25</v>
      </c>
      <c r="D62" s="282">
        <v>0.01</v>
      </c>
      <c r="E62" s="281">
        <f t="shared" si="3"/>
        <v>24</v>
      </c>
      <c r="F62" s="566">
        <v>5.6529999999999997E-2</v>
      </c>
      <c r="G62" s="250">
        <f t="shared" si="4"/>
        <v>1</v>
      </c>
      <c r="H62" s="274"/>
      <c r="I62" s="271"/>
      <c r="J62" s="271"/>
      <c r="K62" s="270"/>
      <c r="L62" s="273"/>
      <c r="M62" s="273"/>
      <c r="N62" s="248"/>
      <c r="O62" s="248"/>
      <c r="P62" s="248"/>
      <c r="Q62" s="248"/>
      <c r="R62" s="248"/>
      <c r="S62" s="248"/>
      <c r="T62" s="248"/>
      <c r="U62" s="248"/>
      <c r="V62" s="248"/>
      <c r="W62" s="248"/>
      <c r="X62" s="248"/>
    </row>
    <row r="63" spans="1:24" s="243" customFormat="1" ht="19.5" customHeight="1" x14ac:dyDescent="0.25">
      <c r="A63" s="240">
        <v>22</v>
      </c>
      <c r="B63" s="249" t="s">
        <v>193</v>
      </c>
      <c r="C63" s="279">
        <f t="shared" si="2"/>
        <v>25</v>
      </c>
      <c r="D63" s="282">
        <v>0.01</v>
      </c>
      <c r="E63" s="281">
        <f t="shared" si="3"/>
        <v>24</v>
      </c>
      <c r="F63" s="566">
        <v>5.6529999999999997E-2</v>
      </c>
      <c r="G63" s="250">
        <f t="shared" si="4"/>
        <v>1</v>
      </c>
      <c r="H63" s="274"/>
      <c r="I63" s="271"/>
      <c r="J63" s="271"/>
      <c r="K63" s="270"/>
      <c r="L63" s="273"/>
      <c r="M63" s="273"/>
      <c r="N63" s="248"/>
      <c r="O63" s="248"/>
      <c r="P63" s="248"/>
      <c r="Q63" s="248"/>
      <c r="R63" s="248"/>
      <c r="S63" s="248"/>
      <c r="T63" s="248"/>
      <c r="U63" s="248"/>
      <c r="V63" s="248"/>
      <c r="W63" s="248"/>
      <c r="X63" s="248"/>
    </row>
    <row r="64" spans="1:24" s="243" customFormat="1" ht="19.5" customHeight="1" x14ac:dyDescent="0.25">
      <c r="A64" s="240">
        <v>23</v>
      </c>
      <c r="B64" s="249" t="s">
        <v>136</v>
      </c>
      <c r="C64" s="279">
        <f t="shared" si="2"/>
        <v>25</v>
      </c>
      <c r="D64" s="282">
        <v>0.01</v>
      </c>
      <c r="E64" s="281">
        <f t="shared" si="3"/>
        <v>24</v>
      </c>
      <c r="F64" s="566">
        <v>5.6529999999999997E-2</v>
      </c>
      <c r="G64" s="250">
        <f t="shared" si="4"/>
        <v>1</v>
      </c>
      <c r="H64" s="274"/>
      <c r="I64" s="271"/>
      <c r="J64" s="271"/>
      <c r="K64" s="270"/>
      <c r="L64" s="273"/>
      <c r="M64" s="273"/>
      <c r="N64" s="248"/>
      <c r="O64" s="248"/>
      <c r="P64" s="248"/>
      <c r="Q64" s="248"/>
      <c r="R64" s="248"/>
      <c r="S64" s="248"/>
      <c r="T64" s="248"/>
      <c r="U64" s="248"/>
      <c r="V64" s="248"/>
      <c r="W64" s="248"/>
      <c r="X64" s="248"/>
    </row>
    <row r="65" spans="1:24" s="243" customFormat="1" ht="19.5" customHeight="1" x14ac:dyDescent="0.25">
      <c r="A65" s="244">
        <v>24</v>
      </c>
      <c r="B65" s="283" t="s">
        <v>210</v>
      </c>
      <c r="C65" s="284">
        <f t="shared" si="2"/>
        <v>25</v>
      </c>
      <c r="D65" s="285">
        <v>0.01</v>
      </c>
      <c r="E65" s="286">
        <f t="shared" si="3"/>
        <v>24</v>
      </c>
      <c r="F65" s="567">
        <v>5.6529999999999997E-2</v>
      </c>
      <c r="G65" s="287">
        <f t="shared" si="4"/>
        <v>1</v>
      </c>
      <c r="H65" s="274"/>
      <c r="I65" s="271"/>
      <c r="J65" s="271"/>
      <c r="K65" s="270"/>
      <c r="L65" s="273"/>
      <c r="M65" s="273"/>
      <c r="N65" s="248"/>
      <c r="O65" s="248"/>
      <c r="P65" s="248"/>
      <c r="Q65" s="248"/>
      <c r="R65" s="248"/>
      <c r="S65" s="248"/>
      <c r="T65" s="248"/>
      <c r="U65" s="248"/>
      <c r="V65" s="248"/>
      <c r="W65" s="248"/>
      <c r="X65" s="248"/>
    </row>
    <row r="66" spans="1:24" s="243" customFormat="1" ht="42" customHeight="1" x14ac:dyDescent="0.25">
      <c r="A66" s="856" t="s">
        <v>194</v>
      </c>
      <c r="B66" s="856"/>
      <c r="C66" s="856"/>
      <c r="D66" s="856"/>
      <c r="E66" s="856"/>
      <c r="F66" s="856"/>
      <c r="G66" s="856"/>
      <c r="H66" s="856"/>
      <c r="I66" s="856"/>
      <c r="J66" s="856"/>
      <c r="K66" s="856"/>
      <c r="L66" s="856"/>
      <c r="M66" s="856"/>
      <c r="N66" s="856"/>
      <c r="O66" s="856"/>
      <c r="P66" s="856"/>
      <c r="Q66" s="856"/>
      <c r="R66" s="856"/>
      <c r="S66" s="856"/>
      <c r="T66" s="856"/>
    </row>
    <row r="67" spans="1:24" s="288" customFormat="1" ht="30.75" customHeight="1" x14ac:dyDescent="0.25">
      <c r="A67" s="857" t="s">
        <v>1</v>
      </c>
      <c r="B67" s="857" t="s">
        <v>195</v>
      </c>
      <c r="C67" s="857" t="s">
        <v>196</v>
      </c>
      <c r="D67" s="857" t="s">
        <v>197</v>
      </c>
      <c r="E67" s="857" t="s">
        <v>198</v>
      </c>
      <c r="F67" s="857" t="s">
        <v>199</v>
      </c>
      <c r="G67" s="857"/>
      <c r="H67" s="857"/>
      <c r="I67" s="857"/>
      <c r="J67" s="857"/>
      <c r="K67" s="857"/>
      <c r="L67" s="857"/>
      <c r="M67" s="857"/>
    </row>
    <row r="68" spans="1:24" s="288" customFormat="1" ht="86.25" customHeight="1" x14ac:dyDescent="0.25">
      <c r="A68" s="857"/>
      <c r="B68" s="857"/>
      <c r="C68" s="857"/>
      <c r="D68" s="857"/>
      <c r="E68" s="857"/>
      <c r="F68" s="289" t="s">
        <v>170</v>
      </c>
      <c r="G68" s="289" t="s">
        <v>171</v>
      </c>
      <c r="H68" s="289" t="s">
        <v>172</v>
      </c>
      <c r="I68" s="289" t="s">
        <v>173</v>
      </c>
      <c r="J68" s="289" t="s">
        <v>174</v>
      </c>
      <c r="K68" s="289" t="s">
        <v>175</v>
      </c>
      <c r="L68" s="289" t="s">
        <v>176</v>
      </c>
      <c r="M68" s="289" t="s">
        <v>45</v>
      </c>
    </row>
    <row r="69" spans="1:24" s="243" customFormat="1" ht="32.25" customHeight="1" x14ac:dyDescent="0.25">
      <c r="A69" s="244">
        <v>1</v>
      </c>
      <c r="B69" s="245" t="s">
        <v>153</v>
      </c>
      <c r="C69" s="253">
        <f>I39-E41</f>
        <v>1307</v>
      </c>
      <c r="D69" s="253">
        <f>L9</f>
        <v>376</v>
      </c>
      <c r="E69" s="254">
        <f>C69/D69</f>
        <v>3.4760638297872339</v>
      </c>
      <c r="F69" s="253">
        <f>ROUND($E$69*M9,0)</f>
        <v>163</v>
      </c>
      <c r="G69" s="253">
        <f t="shared" ref="G69:M69" si="5">ROUND($E$69*N9,0)</f>
        <v>184</v>
      </c>
      <c r="H69" s="253">
        <f t="shared" si="5"/>
        <v>160</v>
      </c>
      <c r="I69" s="253">
        <f t="shared" si="5"/>
        <v>163</v>
      </c>
      <c r="J69" s="253">
        <f t="shared" si="5"/>
        <v>243</v>
      </c>
      <c r="K69" s="253">
        <f t="shared" si="5"/>
        <v>174</v>
      </c>
      <c r="L69" s="253">
        <f t="shared" si="5"/>
        <v>191</v>
      </c>
      <c r="M69" s="253">
        <f t="shared" si="5"/>
        <v>28</v>
      </c>
    </row>
    <row r="70" spans="1:24" s="243" customFormat="1" ht="36.75" customHeight="1" x14ac:dyDescent="0.25">
      <c r="A70" s="853" t="s">
        <v>211</v>
      </c>
      <c r="B70" s="853"/>
      <c r="C70" s="853"/>
      <c r="D70" s="853"/>
      <c r="E70" s="853"/>
      <c r="F70" s="853"/>
      <c r="G70" s="853"/>
      <c r="H70" s="853"/>
      <c r="I70" s="853"/>
      <c r="J70" s="853"/>
      <c r="K70" s="853"/>
      <c r="L70" s="259"/>
      <c r="M70" s="259"/>
      <c r="N70" s="259"/>
      <c r="O70" s="259"/>
      <c r="P70" s="852" t="s">
        <v>625</v>
      </c>
      <c r="Q70" s="852"/>
      <c r="R70" s="852"/>
      <c r="S70" s="852"/>
      <c r="T70" s="852"/>
    </row>
    <row r="71" spans="1:24" s="243" customFormat="1" ht="21.75" customHeight="1" x14ac:dyDescent="0.25">
      <c r="A71" s="251"/>
      <c r="B71" s="251"/>
      <c r="C71" s="251"/>
      <c r="D71" s="870" t="s">
        <v>55</v>
      </c>
      <c r="E71" s="870"/>
      <c r="F71" s="251"/>
      <c r="G71" s="251"/>
      <c r="H71" s="251"/>
      <c r="I71" s="251"/>
      <c r="J71" s="251"/>
      <c r="K71" s="251"/>
      <c r="L71" s="251"/>
      <c r="O71" s="251"/>
      <c r="P71" s="251"/>
      <c r="Q71" s="251"/>
      <c r="R71" s="251"/>
      <c r="S71" s="251"/>
      <c r="T71" s="251"/>
    </row>
    <row r="72" spans="1:24" s="510" customFormat="1" ht="42" customHeight="1" x14ac:dyDescent="0.25">
      <c r="A72" s="871" t="s">
        <v>1</v>
      </c>
      <c r="B72" s="871" t="s">
        <v>200</v>
      </c>
      <c r="C72" s="871" t="s">
        <v>565</v>
      </c>
      <c r="D72" s="871"/>
      <c r="E72" s="872"/>
      <c r="F72" s="613"/>
      <c r="G72" s="509"/>
      <c r="H72" s="509"/>
      <c r="I72" s="509"/>
      <c r="J72" s="509"/>
      <c r="K72" s="509"/>
      <c r="L72" s="509"/>
      <c r="M72" s="509"/>
      <c r="N72" s="509"/>
    </row>
    <row r="73" spans="1:24" s="511" customFormat="1" ht="24.75" customHeight="1" x14ac:dyDescent="0.25">
      <c r="A73" s="868"/>
      <c r="B73" s="868"/>
      <c r="C73" s="868" t="s">
        <v>33</v>
      </c>
      <c r="D73" s="868" t="s">
        <v>202</v>
      </c>
      <c r="E73" s="869"/>
      <c r="F73" s="613"/>
      <c r="G73" s="509"/>
      <c r="H73" s="509"/>
      <c r="I73" s="509"/>
      <c r="J73" s="509"/>
      <c r="K73" s="509"/>
      <c r="L73" s="509"/>
      <c r="M73" s="509"/>
      <c r="N73" s="509"/>
    </row>
    <row r="74" spans="1:24" s="514" customFormat="1" ht="61.5" customHeight="1" x14ac:dyDescent="0.25">
      <c r="A74" s="868"/>
      <c r="B74" s="868"/>
      <c r="C74" s="868"/>
      <c r="D74" s="512" t="s">
        <v>587</v>
      </c>
      <c r="E74" s="612" t="s">
        <v>604</v>
      </c>
      <c r="F74" s="613"/>
      <c r="G74" s="509"/>
      <c r="H74" s="513"/>
      <c r="I74" s="509"/>
      <c r="J74" s="513"/>
      <c r="K74" s="513"/>
      <c r="L74" s="509"/>
      <c r="M74" s="513"/>
      <c r="N74" s="513"/>
    </row>
    <row r="75" spans="1:24" s="233" customFormat="1" ht="16.5" x14ac:dyDescent="0.25">
      <c r="A75" s="866" t="s">
        <v>67</v>
      </c>
      <c r="B75" s="866"/>
      <c r="C75" s="256">
        <f>C76+C101</f>
        <v>2486</v>
      </c>
      <c r="D75" s="256">
        <f t="shared" ref="D75:E75" si="6">D76+D101</f>
        <v>2352</v>
      </c>
      <c r="E75" s="610">
        <f t="shared" si="6"/>
        <v>134</v>
      </c>
      <c r="F75" s="562"/>
      <c r="G75" s="290"/>
      <c r="H75" s="290"/>
      <c r="I75" s="290"/>
      <c r="J75" s="290"/>
      <c r="K75" s="290"/>
      <c r="L75" s="290"/>
      <c r="M75" s="290"/>
      <c r="N75" s="290"/>
      <c r="P75" s="255"/>
    </row>
    <row r="76" spans="1:24" s="233" customFormat="1" ht="16.5" x14ac:dyDescent="0.25">
      <c r="A76" s="237" t="s">
        <v>46</v>
      </c>
      <c r="B76" s="238" t="s">
        <v>203</v>
      </c>
      <c r="C76" s="256">
        <f>SUM(C77:C100)</f>
        <v>1096</v>
      </c>
      <c r="D76" s="256">
        <f t="shared" ref="D76:E76" si="7">SUM(D77:D100)</f>
        <v>1045</v>
      </c>
      <c r="E76" s="610">
        <f t="shared" si="7"/>
        <v>51</v>
      </c>
      <c r="F76" s="562"/>
      <c r="G76" s="290"/>
      <c r="H76" s="290"/>
      <c r="I76" s="290"/>
      <c r="J76" s="290"/>
      <c r="K76" s="290"/>
      <c r="L76" s="290"/>
      <c r="M76" s="290"/>
      <c r="N76" s="290"/>
    </row>
    <row r="77" spans="1:24" s="233" customFormat="1" ht="16.5" x14ac:dyDescent="0.25">
      <c r="A77" s="240">
        <v>1</v>
      </c>
      <c r="B77" s="249" t="s">
        <v>129</v>
      </c>
      <c r="C77" s="252">
        <f>D77+E77</f>
        <v>261</v>
      </c>
      <c r="D77" s="252">
        <f>E42</f>
        <v>247</v>
      </c>
      <c r="E77" s="611">
        <f>G42</f>
        <v>14</v>
      </c>
      <c r="F77" s="563"/>
      <c r="G77" s="291"/>
      <c r="H77" s="291"/>
      <c r="I77" s="291"/>
      <c r="J77" s="291"/>
      <c r="K77" s="291"/>
      <c r="L77" s="291"/>
      <c r="M77" s="291"/>
      <c r="N77" s="291"/>
      <c r="P77" s="243"/>
      <c r="Q77" s="243"/>
      <c r="S77" s="255"/>
      <c r="T77" s="255"/>
      <c r="U77" s="255"/>
    </row>
    <row r="78" spans="1:24" s="233" customFormat="1" ht="16.5" x14ac:dyDescent="0.25">
      <c r="A78" s="240">
        <v>2</v>
      </c>
      <c r="B78" s="249" t="s">
        <v>182</v>
      </c>
      <c r="C78" s="252">
        <f t="shared" ref="C78:C100" si="8">D78+E78</f>
        <v>62</v>
      </c>
      <c r="D78" s="252">
        <f t="shared" ref="D78:D100" si="9">E43</f>
        <v>59</v>
      </c>
      <c r="E78" s="611">
        <f t="shared" ref="E78:E100" si="10">G43</f>
        <v>3</v>
      </c>
      <c r="F78" s="563"/>
      <c r="G78" s="291"/>
      <c r="H78" s="291"/>
      <c r="I78" s="291"/>
      <c r="J78" s="291"/>
      <c r="K78" s="291"/>
      <c r="L78" s="291"/>
      <c r="M78" s="291"/>
      <c r="N78" s="291"/>
      <c r="P78" s="243"/>
      <c r="Q78" s="243"/>
    </row>
    <row r="79" spans="1:24" s="233" customFormat="1" ht="16.5" x14ac:dyDescent="0.25">
      <c r="A79" s="240">
        <v>3</v>
      </c>
      <c r="B79" s="249" t="s">
        <v>183</v>
      </c>
      <c r="C79" s="252">
        <f t="shared" si="8"/>
        <v>25</v>
      </c>
      <c r="D79" s="252">
        <f t="shared" si="9"/>
        <v>24</v>
      </c>
      <c r="E79" s="611">
        <f t="shared" si="10"/>
        <v>1</v>
      </c>
      <c r="F79" s="563"/>
      <c r="G79" s="291"/>
      <c r="H79" s="291"/>
      <c r="I79" s="291"/>
      <c r="J79" s="291"/>
      <c r="K79" s="291"/>
      <c r="L79" s="291"/>
      <c r="M79" s="291"/>
      <c r="N79" s="291"/>
      <c r="P79" s="243"/>
      <c r="Q79" s="243"/>
    </row>
    <row r="80" spans="1:24" s="233" customFormat="1" ht="16.5" x14ac:dyDescent="0.25">
      <c r="A80" s="240">
        <v>4</v>
      </c>
      <c r="B80" s="249" t="s">
        <v>184</v>
      </c>
      <c r="C80" s="252">
        <f t="shared" si="8"/>
        <v>25</v>
      </c>
      <c r="D80" s="252">
        <f t="shared" si="9"/>
        <v>24</v>
      </c>
      <c r="E80" s="611">
        <f t="shared" si="10"/>
        <v>1</v>
      </c>
      <c r="F80" s="563"/>
      <c r="G80" s="291"/>
      <c r="H80" s="291"/>
      <c r="I80" s="291"/>
      <c r="J80" s="291"/>
      <c r="K80" s="291"/>
      <c r="L80" s="291"/>
      <c r="M80" s="291"/>
      <c r="N80" s="291"/>
      <c r="P80" s="243"/>
      <c r="Q80" s="243"/>
    </row>
    <row r="81" spans="1:20" s="233" customFormat="1" ht="16.5" x14ac:dyDescent="0.25">
      <c r="A81" s="240">
        <v>5</v>
      </c>
      <c r="B81" s="249" t="s">
        <v>92</v>
      </c>
      <c r="C81" s="252">
        <f t="shared" si="8"/>
        <v>25</v>
      </c>
      <c r="D81" s="252">
        <f t="shared" si="9"/>
        <v>24</v>
      </c>
      <c r="E81" s="611">
        <f t="shared" si="10"/>
        <v>1</v>
      </c>
      <c r="F81" s="563"/>
      <c r="G81" s="291"/>
      <c r="H81" s="291"/>
      <c r="I81" s="291"/>
      <c r="J81" s="291"/>
      <c r="K81" s="291"/>
      <c r="L81" s="291"/>
      <c r="M81" s="291"/>
      <c r="N81" s="291"/>
      <c r="P81" s="243"/>
      <c r="Q81" s="243"/>
    </row>
    <row r="82" spans="1:20" s="233" customFormat="1" ht="16.5" x14ac:dyDescent="0.25">
      <c r="A82" s="240">
        <v>6</v>
      </c>
      <c r="B82" s="249" t="s">
        <v>158</v>
      </c>
      <c r="C82" s="252">
        <f t="shared" si="8"/>
        <v>25</v>
      </c>
      <c r="D82" s="252">
        <f t="shared" si="9"/>
        <v>24</v>
      </c>
      <c r="E82" s="611">
        <f t="shared" si="10"/>
        <v>1</v>
      </c>
      <c r="F82" s="563"/>
      <c r="G82" s="291"/>
      <c r="H82" s="291"/>
      <c r="I82" s="291"/>
      <c r="J82" s="291"/>
      <c r="K82" s="291"/>
      <c r="L82" s="291"/>
      <c r="M82" s="291"/>
      <c r="N82" s="291"/>
      <c r="P82" s="243"/>
      <c r="Q82" s="243"/>
    </row>
    <row r="83" spans="1:20" s="233" customFormat="1" ht="16.5" x14ac:dyDescent="0.25">
      <c r="A83" s="240">
        <v>7</v>
      </c>
      <c r="B83" s="249" t="s">
        <v>117</v>
      </c>
      <c r="C83" s="252">
        <f t="shared" si="8"/>
        <v>25</v>
      </c>
      <c r="D83" s="252">
        <f t="shared" si="9"/>
        <v>24</v>
      </c>
      <c r="E83" s="611">
        <f t="shared" si="10"/>
        <v>1</v>
      </c>
      <c r="F83" s="563"/>
      <c r="G83" s="291"/>
      <c r="H83" s="291"/>
      <c r="I83" s="291"/>
      <c r="J83" s="291"/>
      <c r="K83" s="291"/>
      <c r="L83" s="291"/>
      <c r="M83" s="291"/>
      <c r="N83" s="291"/>
      <c r="P83" s="243"/>
      <c r="Q83" s="243"/>
    </row>
    <row r="84" spans="1:20" s="233" customFormat="1" ht="16.5" x14ac:dyDescent="0.25">
      <c r="A84" s="240">
        <v>8</v>
      </c>
      <c r="B84" s="249" t="s">
        <v>121</v>
      </c>
      <c r="C84" s="252">
        <f t="shared" si="8"/>
        <v>25</v>
      </c>
      <c r="D84" s="252">
        <f t="shared" si="9"/>
        <v>24</v>
      </c>
      <c r="E84" s="611">
        <f t="shared" si="10"/>
        <v>1</v>
      </c>
      <c r="F84" s="563"/>
      <c r="G84" s="291"/>
      <c r="H84" s="291"/>
      <c r="I84" s="291"/>
      <c r="J84" s="291"/>
      <c r="K84" s="291"/>
      <c r="L84" s="291"/>
      <c r="M84" s="291"/>
      <c r="N84" s="291"/>
      <c r="P84" s="243"/>
      <c r="Q84" s="243"/>
    </row>
    <row r="85" spans="1:20" s="233" customFormat="1" ht="16.5" x14ac:dyDescent="0.25">
      <c r="A85" s="240">
        <v>9</v>
      </c>
      <c r="B85" s="249" t="s">
        <v>185</v>
      </c>
      <c r="C85" s="252">
        <f t="shared" si="8"/>
        <v>25</v>
      </c>
      <c r="D85" s="252">
        <f t="shared" si="9"/>
        <v>24</v>
      </c>
      <c r="E85" s="611">
        <f t="shared" si="10"/>
        <v>1</v>
      </c>
      <c r="F85" s="563"/>
      <c r="G85" s="291"/>
      <c r="H85" s="291"/>
      <c r="I85" s="291"/>
      <c r="J85" s="291"/>
      <c r="K85" s="291"/>
      <c r="L85" s="291"/>
      <c r="M85" s="291"/>
      <c r="N85" s="291"/>
      <c r="P85" s="243"/>
      <c r="Q85" s="243"/>
    </row>
    <row r="86" spans="1:20" s="233" customFormat="1" ht="16.5" x14ac:dyDescent="0.25">
      <c r="A86" s="240">
        <v>10</v>
      </c>
      <c r="B86" s="249" t="s">
        <v>186</v>
      </c>
      <c r="C86" s="252">
        <f t="shared" si="8"/>
        <v>248</v>
      </c>
      <c r="D86" s="252">
        <f t="shared" si="9"/>
        <v>235</v>
      </c>
      <c r="E86" s="611">
        <f t="shared" si="10"/>
        <v>13</v>
      </c>
      <c r="F86" s="563"/>
      <c r="G86" s="291"/>
      <c r="H86" s="291"/>
      <c r="I86" s="291"/>
      <c r="J86" s="291"/>
      <c r="K86" s="291"/>
      <c r="L86" s="291"/>
      <c r="M86" s="291"/>
      <c r="N86" s="291"/>
      <c r="P86" s="243"/>
      <c r="Q86" s="243"/>
    </row>
    <row r="87" spans="1:20" s="233" customFormat="1" ht="16.5" x14ac:dyDescent="0.25">
      <c r="A87" s="240">
        <v>11</v>
      </c>
      <c r="B87" s="249" t="s">
        <v>187</v>
      </c>
      <c r="C87" s="252">
        <f t="shared" si="8"/>
        <v>25</v>
      </c>
      <c r="D87" s="252">
        <f t="shared" si="9"/>
        <v>24</v>
      </c>
      <c r="E87" s="611">
        <f t="shared" si="10"/>
        <v>1</v>
      </c>
      <c r="F87" s="563"/>
      <c r="G87" s="291"/>
      <c r="H87" s="291"/>
      <c r="I87" s="291"/>
      <c r="J87" s="291"/>
      <c r="K87" s="291"/>
      <c r="L87" s="291"/>
      <c r="M87" s="291"/>
      <c r="N87" s="291"/>
      <c r="P87" s="243"/>
      <c r="Q87" s="243"/>
    </row>
    <row r="88" spans="1:20" s="233" customFormat="1" ht="16.5" x14ac:dyDescent="0.25">
      <c r="A88" s="240">
        <v>12</v>
      </c>
      <c r="B88" s="249" t="s">
        <v>137</v>
      </c>
      <c r="C88" s="252">
        <f t="shared" si="8"/>
        <v>25</v>
      </c>
      <c r="D88" s="252">
        <f t="shared" si="9"/>
        <v>24</v>
      </c>
      <c r="E88" s="611">
        <f t="shared" si="10"/>
        <v>1</v>
      </c>
      <c r="F88" s="563"/>
      <c r="G88" s="291"/>
      <c r="H88" s="291"/>
      <c r="I88" s="291"/>
      <c r="J88" s="291"/>
      <c r="K88" s="291"/>
      <c r="L88" s="291"/>
      <c r="M88" s="291"/>
      <c r="N88" s="291"/>
      <c r="P88" s="243"/>
      <c r="Q88" s="243"/>
    </row>
    <row r="89" spans="1:20" s="233" customFormat="1" ht="16.5" x14ac:dyDescent="0.25">
      <c r="A89" s="240">
        <v>13</v>
      </c>
      <c r="B89" s="249" t="s">
        <v>188</v>
      </c>
      <c r="C89" s="252">
        <f t="shared" si="8"/>
        <v>25</v>
      </c>
      <c r="D89" s="252">
        <f t="shared" si="9"/>
        <v>24</v>
      </c>
      <c r="E89" s="611">
        <f t="shared" si="10"/>
        <v>1</v>
      </c>
      <c r="F89" s="563"/>
      <c r="G89" s="291"/>
      <c r="H89" s="291"/>
      <c r="I89" s="291"/>
      <c r="J89" s="291"/>
      <c r="K89" s="291"/>
      <c r="L89" s="291"/>
      <c r="M89" s="291"/>
      <c r="N89" s="291"/>
      <c r="P89" s="243"/>
      <c r="Q89" s="243"/>
    </row>
    <row r="90" spans="1:20" s="233" customFormat="1" ht="16.5" x14ac:dyDescent="0.25">
      <c r="A90" s="240">
        <v>14</v>
      </c>
      <c r="B90" s="249" t="s">
        <v>189</v>
      </c>
      <c r="C90" s="252">
        <f t="shared" si="8"/>
        <v>25</v>
      </c>
      <c r="D90" s="252">
        <f t="shared" si="9"/>
        <v>24</v>
      </c>
      <c r="E90" s="611">
        <f t="shared" si="10"/>
        <v>1</v>
      </c>
      <c r="F90" s="563"/>
      <c r="G90" s="291"/>
      <c r="H90" s="291"/>
      <c r="I90" s="291"/>
      <c r="J90" s="291"/>
      <c r="K90" s="291"/>
      <c r="L90" s="291"/>
      <c r="M90" s="291"/>
      <c r="N90" s="291"/>
      <c r="P90" s="243"/>
      <c r="Q90" s="243"/>
    </row>
    <row r="91" spans="1:20" s="233" customFormat="1" ht="16.5" x14ac:dyDescent="0.25">
      <c r="A91" s="240">
        <v>15</v>
      </c>
      <c r="B91" s="249" t="s">
        <v>190</v>
      </c>
      <c r="C91" s="252">
        <f t="shared" si="8"/>
        <v>25</v>
      </c>
      <c r="D91" s="252">
        <f t="shared" si="9"/>
        <v>24</v>
      </c>
      <c r="E91" s="611">
        <f t="shared" si="10"/>
        <v>1</v>
      </c>
      <c r="F91" s="563"/>
      <c r="G91" s="291"/>
      <c r="H91" s="291"/>
      <c r="I91" s="291"/>
      <c r="J91" s="291"/>
      <c r="K91" s="291"/>
      <c r="L91" s="291"/>
      <c r="M91" s="291"/>
      <c r="N91" s="291"/>
      <c r="P91" s="243"/>
      <c r="Q91" s="243"/>
    </row>
    <row r="92" spans="1:20" s="233" customFormat="1" ht="16.5" x14ac:dyDescent="0.25">
      <c r="A92" s="240">
        <v>16</v>
      </c>
      <c r="B92" s="249" t="s">
        <v>89</v>
      </c>
      <c r="C92" s="252">
        <f t="shared" si="8"/>
        <v>25</v>
      </c>
      <c r="D92" s="252">
        <f t="shared" si="9"/>
        <v>24</v>
      </c>
      <c r="E92" s="611">
        <f t="shared" si="10"/>
        <v>1</v>
      </c>
      <c r="F92" s="563"/>
      <c r="G92" s="291"/>
      <c r="H92" s="291"/>
      <c r="I92" s="291"/>
      <c r="J92" s="291"/>
      <c r="K92" s="291"/>
      <c r="L92" s="291"/>
      <c r="M92" s="291"/>
      <c r="N92" s="291"/>
      <c r="P92" s="243"/>
      <c r="Q92" s="243"/>
    </row>
    <row r="93" spans="1:20" s="233" customFormat="1" ht="16.5" x14ac:dyDescent="0.25">
      <c r="A93" s="240">
        <v>17</v>
      </c>
      <c r="B93" s="249" t="s">
        <v>191</v>
      </c>
      <c r="C93" s="252">
        <f t="shared" si="8"/>
        <v>25</v>
      </c>
      <c r="D93" s="252">
        <f t="shared" si="9"/>
        <v>24</v>
      </c>
      <c r="E93" s="611">
        <f t="shared" si="10"/>
        <v>1</v>
      </c>
      <c r="F93" s="563"/>
      <c r="G93" s="291"/>
      <c r="H93" s="291"/>
      <c r="I93" s="291"/>
      <c r="J93" s="291"/>
      <c r="K93" s="291"/>
      <c r="L93" s="291"/>
      <c r="M93" s="291"/>
      <c r="N93" s="291"/>
      <c r="P93" s="243"/>
      <c r="Q93" s="243"/>
    </row>
    <row r="94" spans="1:20" s="233" customFormat="1" ht="16.5" x14ac:dyDescent="0.25">
      <c r="A94" s="240">
        <v>18</v>
      </c>
      <c r="B94" s="249" t="s">
        <v>209</v>
      </c>
      <c r="C94" s="252">
        <f t="shared" si="8"/>
        <v>25</v>
      </c>
      <c r="D94" s="252">
        <f t="shared" si="9"/>
        <v>24</v>
      </c>
      <c r="E94" s="611">
        <f t="shared" si="10"/>
        <v>1</v>
      </c>
      <c r="F94" s="563"/>
      <c r="G94" s="291"/>
      <c r="H94" s="291"/>
      <c r="I94" s="291"/>
      <c r="J94" s="291"/>
      <c r="K94" s="291"/>
      <c r="L94" s="291"/>
      <c r="M94" s="291"/>
      <c r="N94" s="291"/>
      <c r="P94" s="243"/>
      <c r="Q94" s="243"/>
    </row>
    <row r="95" spans="1:20" s="233" customFormat="1" ht="16.5" x14ac:dyDescent="0.25">
      <c r="A95" s="240">
        <v>19</v>
      </c>
      <c r="B95" s="249" t="s">
        <v>131</v>
      </c>
      <c r="C95" s="252">
        <f t="shared" si="8"/>
        <v>25</v>
      </c>
      <c r="D95" s="252">
        <f t="shared" si="9"/>
        <v>24</v>
      </c>
      <c r="E95" s="611">
        <f t="shared" si="10"/>
        <v>1</v>
      </c>
      <c r="F95" s="563"/>
      <c r="G95" s="291"/>
      <c r="H95" s="291"/>
      <c r="I95" s="291"/>
      <c r="J95" s="291"/>
      <c r="K95" s="291"/>
      <c r="L95" s="291"/>
      <c r="M95" s="291"/>
      <c r="N95" s="291"/>
      <c r="P95" s="243"/>
      <c r="Q95" s="243"/>
    </row>
    <row r="96" spans="1:20" s="233" customFormat="1" ht="16.5" x14ac:dyDescent="0.25">
      <c r="A96" s="240">
        <v>20</v>
      </c>
      <c r="B96" s="249" t="s">
        <v>181</v>
      </c>
      <c r="C96" s="252">
        <f t="shared" si="8"/>
        <v>25</v>
      </c>
      <c r="D96" s="252">
        <f t="shared" si="9"/>
        <v>24</v>
      </c>
      <c r="E96" s="611">
        <f t="shared" si="10"/>
        <v>1</v>
      </c>
      <c r="F96" s="563"/>
      <c r="G96" s="291"/>
      <c r="H96" s="291"/>
      <c r="I96" s="291"/>
      <c r="J96" s="291"/>
      <c r="K96" s="291"/>
      <c r="L96" s="291"/>
      <c r="M96" s="291"/>
      <c r="N96" s="291"/>
      <c r="P96" s="243"/>
      <c r="Q96" s="243"/>
      <c r="T96" s="255"/>
    </row>
    <row r="97" spans="1:19" s="233" customFormat="1" ht="16.5" x14ac:dyDescent="0.25">
      <c r="A97" s="240">
        <v>21</v>
      </c>
      <c r="B97" s="249" t="s">
        <v>192</v>
      </c>
      <c r="C97" s="252">
        <f t="shared" si="8"/>
        <v>25</v>
      </c>
      <c r="D97" s="252">
        <f t="shared" si="9"/>
        <v>24</v>
      </c>
      <c r="E97" s="611">
        <f t="shared" si="10"/>
        <v>1</v>
      </c>
      <c r="F97" s="563"/>
      <c r="G97" s="291"/>
      <c r="H97" s="291"/>
      <c r="I97" s="291"/>
      <c r="J97" s="291"/>
      <c r="K97" s="291"/>
      <c r="L97" s="291"/>
      <c r="M97" s="291"/>
      <c r="N97" s="291"/>
      <c r="P97" s="243"/>
      <c r="Q97" s="243"/>
    </row>
    <row r="98" spans="1:19" s="233" customFormat="1" ht="16.5" x14ac:dyDescent="0.25">
      <c r="A98" s="240">
        <v>22</v>
      </c>
      <c r="B98" s="249" t="s">
        <v>193</v>
      </c>
      <c r="C98" s="252">
        <f t="shared" si="8"/>
        <v>25</v>
      </c>
      <c r="D98" s="252">
        <f t="shared" si="9"/>
        <v>24</v>
      </c>
      <c r="E98" s="611">
        <f t="shared" si="10"/>
        <v>1</v>
      </c>
      <c r="F98" s="563"/>
      <c r="G98" s="291"/>
      <c r="H98" s="291"/>
      <c r="I98" s="291"/>
      <c r="J98" s="291"/>
      <c r="K98" s="291"/>
      <c r="L98" s="291"/>
      <c r="M98" s="291"/>
      <c r="N98" s="291"/>
      <c r="P98" s="243"/>
      <c r="Q98" s="243"/>
    </row>
    <row r="99" spans="1:19" s="233" customFormat="1" ht="16.5" x14ac:dyDescent="0.25">
      <c r="A99" s="240">
        <v>23</v>
      </c>
      <c r="B99" s="249" t="s">
        <v>136</v>
      </c>
      <c r="C99" s="252">
        <f t="shared" si="8"/>
        <v>25</v>
      </c>
      <c r="D99" s="252">
        <f t="shared" si="9"/>
        <v>24</v>
      </c>
      <c r="E99" s="611">
        <f t="shared" si="10"/>
        <v>1</v>
      </c>
      <c r="F99" s="563"/>
      <c r="G99" s="291"/>
      <c r="H99" s="291"/>
      <c r="I99" s="291"/>
      <c r="J99" s="291"/>
      <c r="K99" s="291"/>
      <c r="L99" s="291"/>
      <c r="M99" s="291"/>
      <c r="N99" s="291"/>
      <c r="P99" s="243"/>
      <c r="Q99" s="243"/>
    </row>
    <row r="100" spans="1:19" s="233" customFormat="1" ht="16.5" x14ac:dyDescent="0.25">
      <c r="A100" s="240">
        <v>24</v>
      </c>
      <c r="B100" s="249" t="s">
        <v>210</v>
      </c>
      <c r="C100" s="252">
        <f t="shared" si="8"/>
        <v>25</v>
      </c>
      <c r="D100" s="252">
        <f t="shared" si="9"/>
        <v>24</v>
      </c>
      <c r="E100" s="611">
        <f t="shared" si="10"/>
        <v>1</v>
      </c>
      <c r="F100" s="563"/>
      <c r="G100" s="291"/>
      <c r="H100" s="291"/>
      <c r="I100" s="291"/>
      <c r="J100" s="291"/>
      <c r="K100" s="291"/>
      <c r="L100" s="291"/>
      <c r="M100" s="291"/>
      <c r="N100" s="291"/>
      <c r="P100" s="243"/>
      <c r="Q100" s="243"/>
    </row>
    <row r="101" spans="1:19" s="233" customFormat="1" ht="16.5" x14ac:dyDescent="0.25">
      <c r="A101" s="237" t="s">
        <v>31</v>
      </c>
      <c r="B101" s="238" t="s">
        <v>204</v>
      </c>
      <c r="C101" s="256">
        <f>SUM(C102:C109)</f>
        <v>1390</v>
      </c>
      <c r="D101" s="256">
        <f t="shared" ref="D101:E101" si="11">SUM(D102:D109)</f>
        <v>1307</v>
      </c>
      <c r="E101" s="610">
        <f t="shared" si="11"/>
        <v>83</v>
      </c>
      <c r="F101" s="562"/>
      <c r="G101" s="290"/>
      <c r="H101" s="290"/>
      <c r="I101" s="290"/>
      <c r="J101" s="290"/>
      <c r="K101" s="290"/>
      <c r="L101" s="290"/>
      <c r="M101" s="290"/>
      <c r="N101" s="290"/>
      <c r="P101" s="257"/>
      <c r="Q101" s="257"/>
      <c r="R101" s="258"/>
      <c r="S101" s="259"/>
    </row>
    <row r="102" spans="1:19" s="243" customFormat="1" ht="16.5" x14ac:dyDescent="0.25">
      <c r="A102" s="240">
        <v>1</v>
      </c>
      <c r="B102" s="260" t="s">
        <v>38</v>
      </c>
      <c r="C102" s="252">
        <f>D102+E102</f>
        <v>173</v>
      </c>
      <c r="D102" s="252">
        <f>F69</f>
        <v>163</v>
      </c>
      <c r="E102" s="252">
        <f>ROUND(D102*5.653%,0)+1</f>
        <v>10</v>
      </c>
      <c r="F102" s="563"/>
      <c r="G102" s="291"/>
      <c r="H102" s="291"/>
      <c r="I102" s="291"/>
      <c r="J102" s="291"/>
      <c r="K102" s="291"/>
      <c r="L102" s="291"/>
      <c r="M102" s="291"/>
      <c r="N102" s="291"/>
      <c r="P102" s="257"/>
      <c r="Q102" s="257"/>
      <c r="R102" s="257"/>
      <c r="S102" s="261"/>
    </row>
    <row r="103" spans="1:19" s="243" customFormat="1" ht="16.5" x14ac:dyDescent="0.25">
      <c r="A103" s="240">
        <v>2</v>
      </c>
      <c r="B103" s="260" t="s">
        <v>39</v>
      </c>
      <c r="C103" s="252">
        <f t="shared" ref="C103:C109" si="12">D103+E103</f>
        <v>194</v>
      </c>
      <c r="D103" s="252">
        <f>G69</f>
        <v>184</v>
      </c>
      <c r="E103" s="252">
        <f t="shared" ref="E103:E109" si="13">ROUND(D103*5.653%,0)</f>
        <v>10</v>
      </c>
      <c r="F103" s="563"/>
      <c r="G103" s="291"/>
      <c r="H103" s="291"/>
      <c r="I103" s="291"/>
      <c r="J103" s="291"/>
      <c r="K103" s="291"/>
      <c r="L103" s="291"/>
      <c r="M103" s="291"/>
      <c r="N103" s="291"/>
      <c r="P103" s="257"/>
      <c r="Q103" s="257"/>
      <c r="R103" s="257"/>
      <c r="S103" s="261"/>
    </row>
    <row r="104" spans="1:19" s="243" customFormat="1" ht="16.5" x14ac:dyDescent="0.25">
      <c r="A104" s="240">
        <v>3</v>
      </c>
      <c r="B104" s="260" t="s">
        <v>40</v>
      </c>
      <c r="C104" s="252">
        <f t="shared" si="12"/>
        <v>177</v>
      </c>
      <c r="D104" s="252">
        <f>H69+1</f>
        <v>161</v>
      </c>
      <c r="E104" s="252">
        <f>ROUND(D104*5.653%,0)+7</f>
        <v>16</v>
      </c>
      <c r="F104" s="563"/>
      <c r="G104" s="291"/>
      <c r="H104" s="291"/>
      <c r="I104" s="291"/>
      <c r="J104" s="291"/>
      <c r="K104" s="291"/>
      <c r="L104" s="291"/>
      <c r="M104" s="291"/>
      <c r="N104" s="291"/>
      <c r="P104" s="257"/>
      <c r="Q104" s="257"/>
      <c r="R104" s="257"/>
      <c r="S104" s="261"/>
    </row>
    <row r="105" spans="1:19" s="243" customFormat="1" ht="16.5" x14ac:dyDescent="0.25">
      <c r="A105" s="240">
        <v>4</v>
      </c>
      <c r="B105" s="260" t="s">
        <v>41</v>
      </c>
      <c r="C105" s="252">
        <f t="shared" si="12"/>
        <v>173</v>
      </c>
      <c r="D105" s="252">
        <f>I69</f>
        <v>163</v>
      </c>
      <c r="E105" s="252">
        <f>ROUND(D105*5.653%,0)+1</f>
        <v>10</v>
      </c>
      <c r="F105" s="563"/>
      <c r="G105" s="291"/>
      <c r="H105" s="291"/>
      <c r="I105" s="291"/>
      <c r="J105" s="291"/>
      <c r="K105" s="291"/>
      <c r="L105" s="291"/>
      <c r="M105" s="291"/>
      <c r="N105" s="291"/>
      <c r="P105" s="257"/>
      <c r="Q105" s="257"/>
      <c r="R105" s="257"/>
      <c r="S105" s="261"/>
    </row>
    <row r="106" spans="1:19" s="243" customFormat="1" ht="16.5" x14ac:dyDescent="0.25">
      <c r="A106" s="240">
        <v>5</v>
      </c>
      <c r="B106" s="260" t="s">
        <v>42</v>
      </c>
      <c r="C106" s="252">
        <f t="shared" si="12"/>
        <v>257</v>
      </c>
      <c r="D106" s="252">
        <f>J69</f>
        <v>243</v>
      </c>
      <c r="E106" s="252">
        <f t="shared" si="13"/>
        <v>14</v>
      </c>
      <c r="F106" s="563"/>
      <c r="G106" s="291"/>
      <c r="H106" s="291"/>
      <c r="I106" s="291"/>
      <c r="J106" s="291"/>
      <c r="K106" s="291"/>
      <c r="L106" s="291"/>
      <c r="M106" s="291"/>
      <c r="N106" s="291"/>
      <c r="P106" s="257"/>
      <c r="Q106" s="257"/>
      <c r="R106" s="257"/>
      <c r="S106" s="261"/>
    </row>
    <row r="107" spans="1:19" s="243" customFormat="1" ht="16.5" x14ac:dyDescent="0.25">
      <c r="A107" s="240">
        <v>6</v>
      </c>
      <c r="B107" s="260" t="s">
        <v>43</v>
      </c>
      <c r="C107" s="252">
        <f t="shared" si="12"/>
        <v>184</v>
      </c>
      <c r="D107" s="252">
        <f>K69</f>
        <v>174</v>
      </c>
      <c r="E107" s="252">
        <f t="shared" si="13"/>
        <v>10</v>
      </c>
      <c r="F107" s="563"/>
      <c r="G107" s="291"/>
      <c r="H107" s="291"/>
      <c r="I107" s="291"/>
      <c r="J107" s="291"/>
      <c r="K107" s="291"/>
      <c r="L107" s="291"/>
      <c r="M107" s="291"/>
      <c r="N107" s="291"/>
      <c r="P107" s="257"/>
      <c r="Q107" s="257"/>
      <c r="R107" s="257"/>
      <c r="S107" s="261"/>
    </row>
    <row r="108" spans="1:19" s="243" customFormat="1" ht="16.5" x14ac:dyDescent="0.25">
      <c r="A108" s="240">
        <v>7</v>
      </c>
      <c r="B108" s="260" t="s">
        <v>44</v>
      </c>
      <c r="C108" s="252">
        <f t="shared" si="12"/>
        <v>202</v>
      </c>
      <c r="D108" s="252">
        <f>L69</f>
        <v>191</v>
      </c>
      <c r="E108" s="252">
        <f t="shared" si="13"/>
        <v>11</v>
      </c>
      <c r="F108" s="563"/>
      <c r="G108" s="291"/>
      <c r="H108" s="291"/>
      <c r="I108" s="291"/>
      <c r="J108" s="291"/>
      <c r="K108" s="291"/>
      <c r="L108" s="291"/>
      <c r="M108" s="291"/>
      <c r="N108" s="291"/>
      <c r="P108" s="257"/>
      <c r="Q108" s="257"/>
      <c r="R108" s="257"/>
      <c r="S108" s="261"/>
    </row>
    <row r="109" spans="1:19" s="243" customFormat="1" ht="16.5" x14ac:dyDescent="0.25">
      <c r="A109" s="244">
        <v>8</v>
      </c>
      <c r="B109" s="262" t="s">
        <v>45</v>
      </c>
      <c r="C109" s="253">
        <f t="shared" si="12"/>
        <v>30</v>
      </c>
      <c r="D109" s="253">
        <f>M69</f>
        <v>28</v>
      </c>
      <c r="E109" s="253">
        <f t="shared" si="13"/>
        <v>2</v>
      </c>
      <c r="F109" s="563"/>
      <c r="G109" s="291"/>
      <c r="H109" s="291"/>
      <c r="I109" s="291"/>
      <c r="J109" s="291"/>
      <c r="K109" s="291"/>
      <c r="L109" s="291"/>
      <c r="M109" s="291"/>
      <c r="N109" s="291"/>
      <c r="P109" s="257"/>
      <c r="Q109" s="257"/>
      <c r="R109" s="257"/>
      <c r="S109" s="261"/>
    </row>
    <row r="111" spans="1:19" x14ac:dyDescent="0.25">
      <c r="D111" s="264"/>
      <c r="E111" s="264"/>
    </row>
    <row r="112" spans="1:19" x14ac:dyDescent="0.25">
      <c r="D112" s="30"/>
      <c r="E112" s="265"/>
    </row>
    <row r="113" spans="1:5" x14ac:dyDescent="0.25">
      <c r="D113" s="30"/>
      <c r="E113" s="265"/>
    </row>
    <row r="114" spans="1:5" x14ac:dyDescent="0.25">
      <c r="A114" s="231"/>
      <c r="D114" s="30"/>
      <c r="E114" s="265"/>
    </row>
    <row r="115" spans="1:5" x14ac:dyDescent="0.25">
      <c r="A115" s="231"/>
      <c r="D115" s="30"/>
      <c r="E115" s="265"/>
    </row>
    <row r="116" spans="1:5" x14ac:dyDescent="0.25">
      <c r="A116" s="231"/>
      <c r="D116" s="30"/>
      <c r="E116" s="265"/>
    </row>
    <row r="117" spans="1:5" x14ac:dyDescent="0.25">
      <c r="A117" s="231"/>
      <c r="D117" s="30"/>
      <c r="E117" s="265"/>
    </row>
    <row r="118" spans="1:5" x14ac:dyDescent="0.25">
      <c r="A118" s="231"/>
      <c r="D118" s="30"/>
      <c r="E118" s="265"/>
    </row>
    <row r="119" spans="1:5" x14ac:dyDescent="0.25">
      <c r="A119" s="231"/>
      <c r="D119" s="30"/>
      <c r="E119" s="265"/>
    </row>
  </sheetData>
  <mergeCells count="36">
    <mergeCell ref="A75:B75"/>
    <mergeCell ref="D39:E39"/>
    <mergeCell ref="F39:G39"/>
    <mergeCell ref="A38:A40"/>
    <mergeCell ref="B38:B40"/>
    <mergeCell ref="C38:C40"/>
    <mergeCell ref="D38:G38"/>
    <mergeCell ref="C73:C74"/>
    <mergeCell ref="D73:E73"/>
    <mergeCell ref="D71:E71"/>
    <mergeCell ref="A72:A74"/>
    <mergeCell ref="B72:B74"/>
    <mergeCell ref="C72:E72"/>
    <mergeCell ref="A41:B41"/>
    <mergeCell ref="A5:T5"/>
    <mergeCell ref="A6:A7"/>
    <mergeCell ref="B6:B7"/>
    <mergeCell ref="C6:C7"/>
    <mergeCell ref="D6:K6"/>
    <mergeCell ref="L6:T6"/>
    <mergeCell ref="P1:T1"/>
    <mergeCell ref="P36:T36"/>
    <mergeCell ref="A70:K70"/>
    <mergeCell ref="P70:T70"/>
    <mergeCell ref="B8:T8"/>
    <mergeCell ref="A36:M36"/>
    <mergeCell ref="A37:T37"/>
    <mergeCell ref="A66:T66"/>
    <mergeCell ref="A67:A68"/>
    <mergeCell ref="B67:B68"/>
    <mergeCell ref="C67:C68"/>
    <mergeCell ref="D67:D68"/>
    <mergeCell ref="E67:E68"/>
    <mergeCell ref="F67:M67"/>
    <mergeCell ref="A2:T2"/>
    <mergeCell ref="A3:T3"/>
  </mergeCells>
  <pageMargins left="0.59055118110236227" right="0.39370078740157483" top="0.59055118110236227" bottom="0.39370078740157483" header="0.31496062992125984" footer="0.31496062992125984"/>
  <pageSetup paperSize="9" scale="65" firstPageNumber="182" fitToHeight="0" orientation="landscape" useFirstPageNumber="1" r:id="rId1"/>
  <headerFooter>
    <oddHeader>&amp;C&amp;P</oddHeader>
  </headerFooter>
  <rowBreaks count="2" manualBreakCount="2">
    <brk id="35" max="19" man="1"/>
    <brk id="6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R52"/>
  <sheetViews>
    <sheetView view="pageLayout" zoomScale="55" zoomScaleNormal="85" zoomScaleSheetLayoutView="70" zoomScalePageLayoutView="55" workbookViewId="0">
      <selection activeCell="B41" sqref="B41"/>
    </sheetView>
  </sheetViews>
  <sheetFormatPr defaultColWidth="9" defaultRowHeight="15.75" x14ac:dyDescent="0.25"/>
  <cols>
    <col min="1" max="1" width="6.75" style="6" customWidth="1"/>
    <col min="2" max="2" width="37.5" style="714" customWidth="1"/>
    <col min="3" max="5" width="9.125" style="1" customWidth="1"/>
    <col min="6" max="7" width="7.375" style="1" customWidth="1"/>
    <col min="8" max="8" width="8.25" style="1" customWidth="1"/>
    <col min="9" max="9" width="7.125" style="1" customWidth="1"/>
    <col min="10" max="10" width="6.375" style="1" customWidth="1"/>
    <col min="11" max="11" width="8" style="1" customWidth="1"/>
    <col min="12" max="12" width="7.125" style="1" customWidth="1"/>
    <col min="13" max="13" width="8" style="1" customWidth="1"/>
    <col min="14" max="14" width="7.75" style="1" customWidth="1"/>
    <col min="15" max="15" width="9.125" style="1" customWidth="1"/>
    <col min="16" max="16" width="7.5" style="1" customWidth="1"/>
    <col min="17" max="17" width="6.625" style="1" customWidth="1"/>
    <col min="18" max="18" width="9.125" style="1" customWidth="1"/>
    <col min="19" max="19" width="7.5" style="1" customWidth="1"/>
    <col min="20" max="20" width="7.125" style="1" customWidth="1"/>
    <col min="21" max="21" width="8" style="1" customWidth="1"/>
    <col min="22" max="22" width="7.875" style="1" customWidth="1"/>
    <col min="23" max="23" width="7.5" style="1" customWidth="1"/>
    <col min="24" max="24" width="7.75" style="1" customWidth="1"/>
    <col min="25" max="25" width="7.5" style="1" customWidth="1"/>
    <col min="26" max="26" width="9.125" style="1" customWidth="1"/>
    <col min="27" max="28" width="7.5" style="1" customWidth="1"/>
    <col min="29" max="29" width="7.5" style="1" hidden="1" customWidth="1"/>
    <col min="30" max="30" width="9.125" style="1" customWidth="1"/>
    <col min="31" max="31" width="7.875" style="1" customWidth="1"/>
    <col min="32" max="32" width="7" style="1" customWidth="1"/>
    <col min="33" max="34" width="7.875" style="1" customWidth="1"/>
    <col min="35" max="35" width="7.75" style="1" customWidth="1"/>
    <col min="36" max="36" width="7.625" style="1" customWidth="1"/>
    <col min="37" max="37" width="8" style="1" customWidth="1"/>
    <col min="38" max="38" width="6.5" style="1" customWidth="1"/>
    <col min="39" max="39" width="7.5" style="1" customWidth="1"/>
    <col min="40" max="40" width="7.75" style="1" customWidth="1"/>
    <col min="41" max="41" width="6.625" style="1" customWidth="1"/>
    <col min="42" max="42" width="7.75" style="1" customWidth="1"/>
    <col min="43" max="43" width="7.125" style="1" customWidth="1"/>
    <col min="44" max="44" width="7.375" style="1" customWidth="1"/>
    <col min="45" max="45" width="7.5" style="1" customWidth="1"/>
    <col min="46" max="46" width="9.125" style="1" customWidth="1"/>
    <col min="47" max="47" width="6.75" style="1" customWidth="1"/>
    <col min="48" max="48" width="9.125" style="1" customWidth="1"/>
    <col min="49" max="49" width="7.375" style="1" customWidth="1"/>
    <col min="50" max="50" width="7.125" style="1" customWidth="1"/>
    <col min="51" max="51" width="7" style="1" customWidth="1"/>
    <col min="52" max="52" width="6.25" style="1" customWidth="1"/>
    <col min="53" max="53" width="7.75" style="1" customWidth="1"/>
    <col min="54" max="54" width="7.125" style="1" customWidth="1"/>
    <col min="55" max="56" width="7.375" style="1" customWidth="1"/>
    <col min="57" max="57" width="7.5" style="1" customWidth="1"/>
    <col min="58" max="63" width="9" style="1" hidden="1" customWidth="1"/>
    <col min="64" max="64" width="9.625" style="1" hidden="1" customWidth="1"/>
    <col min="65" max="67" width="9" style="1" hidden="1" customWidth="1"/>
    <col min="68" max="68" width="9" style="1"/>
    <col min="69" max="70" width="0" style="1" hidden="1" customWidth="1"/>
    <col min="71" max="16384" width="9" style="1"/>
  </cols>
  <sheetData>
    <row r="1" spans="1:70" ht="30" customHeight="1" x14ac:dyDescent="0.25">
      <c r="P1" s="770" t="s">
        <v>609</v>
      </c>
      <c r="Q1" s="770"/>
      <c r="R1" s="770"/>
      <c r="S1" s="770"/>
      <c r="AI1" s="770" t="s">
        <v>609</v>
      </c>
      <c r="AJ1" s="770"/>
      <c r="AK1" s="770"/>
      <c r="AL1" s="770"/>
      <c r="AY1" s="770" t="s">
        <v>609</v>
      </c>
      <c r="AZ1" s="778"/>
      <c r="BA1" s="778"/>
      <c r="BB1" s="778"/>
      <c r="BC1" s="778"/>
      <c r="BD1" s="778"/>
      <c r="BE1" s="778"/>
    </row>
    <row r="2" spans="1:70" ht="49.5" customHeight="1" x14ac:dyDescent="0.25">
      <c r="A2" s="617"/>
      <c r="B2" s="715"/>
      <c r="C2" s="768" t="s">
        <v>259</v>
      </c>
      <c r="D2" s="768"/>
      <c r="E2" s="768"/>
      <c r="F2" s="768"/>
      <c r="G2" s="768"/>
      <c r="H2" s="768"/>
      <c r="I2" s="768"/>
      <c r="J2" s="768"/>
      <c r="K2" s="768"/>
      <c r="L2" s="768"/>
      <c r="M2" s="768"/>
      <c r="N2" s="768"/>
      <c r="O2" s="768"/>
      <c r="P2" s="768"/>
      <c r="Q2" s="768"/>
      <c r="R2" s="768"/>
      <c r="S2" s="768"/>
      <c r="T2" s="768" t="s">
        <v>259</v>
      </c>
      <c r="U2" s="768"/>
      <c r="V2" s="768"/>
      <c r="W2" s="768"/>
      <c r="X2" s="768"/>
      <c r="Y2" s="768"/>
      <c r="Z2" s="768"/>
      <c r="AA2" s="768"/>
      <c r="AB2" s="768"/>
      <c r="AC2" s="768"/>
      <c r="AD2" s="768"/>
      <c r="AE2" s="768"/>
      <c r="AF2" s="768"/>
      <c r="AG2" s="768"/>
      <c r="AH2" s="768"/>
      <c r="AI2" s="768"/>
      <c r="AJ2" s="768"/>
      <c r="AK2" s="768"/>
      <c r="AL2" s="768"/>
      <c r="AM2" s="768" t="s">
        <v>259</v>
      </c>
      <c r="AN2" s="768"/>
      <c r="AO2" s="768"/>
      <c r="AP2" s="768"/>
      <c r="AQ2" s="768"/>
      <c r="AR2" s="768"/>
      <c r="AS2" s="768"/>
      <c r="AT2" s="768"/>
      <c r="AU2" s="768"/>
      <c r="AV2" s="768"/>
      <c r="AW2" s="768"/>
      <c r="AX2" s="768"/>
      <c r="AY2" s="768"/>
      <c r="AZ2" s="768"/>
      <c r="BA2" s="768"/>
      <c r="BB2" s="768"/>
      <c r="BC2" s="768"/>
      <c r="BD2" s="768"/>
      <c r="BE2" s="768"/>
    </row>
    <row r="3" spans="1:70" ht="24.75" customHeight="1" x14ac:dyDescent="0.25">
      <c r="A3" s="618"/>
      <c r="B3" s="716"/>
      <c r="C3" s="769" t="s">
        <v>607</v>
      </c>
      <c r="D3" s="769"/>
      <c r="E3" s="769"/>
      <c r="F3" s="769"/>
      <c r="G3" s="769"/>
      <c r="H3" s="769"/>
      <c r="I3" s="769"/>
      <c r="J3" s="769"/>
      <c r="K3" s="769"/>
      <c r="L3" s="769"/>
      <c r="M3" s="769"/>
      <c r="N3" s="769"/>
      <c r="O3" s="769"/>
      <c r="P3" s="769"/>
      <c r="Q3" s="769"/>
      <c r="R3" s="769"/>
      <c r="S3" s="769"/>
      <c r="T3" s="769" t="s">
        <v>607</v>
      </c>
      <c r="U3" s="769"/>
      <c r="V3" s="769"/>
      <c r="W3" s="769"/>
      <c r="X3" s="769"/>
      <c r="Y3" s="769"/>
      <c r="Z3" s="769"/>
      <c r="AA3" s="769"/>
      <c r="AB3" s="769"/>
      <c r="AC3" s="769"/>
      <c r="AD3" s="769"/>
      <c r="AE3" s="769"/>
      <c r="AF3" s="769"/>
      <c r="AG3" s="769"/>
      <c r="AH3" s="769"/>
      <c r="AI3" s="769"/>
      <c r="AJ3" s="769"/>
      <c r="AK3" s="769"/>
      <c r="AL3" s="769"/>
      <c r="AM3" s="769" t="s">
        <v>607</v>
      </c>
      <c r="AN3" s="769"/>
      <c r="AO3" s="769"/>
      <c r="AP3" s="769"/>
      <c r="AQ3" s="769"/>
      <c r="AR3" s="769"/>
      <c r="AS3" s="769"/>
      <c r="AT3" s="769"/>
      <c r="AU3" s="769"/>
      <c r="AV3" s="769"/>
      <c r="AW3" s="769"/>
      <c r="AX3" s="769"/>
      <c r="AY3" s="769"/>
      <c r="AZ3" s="769"/>
      <c r="BA3" s="769"/>
      <c r="BB3" s="769"/>
      <c r="BC3" s="769"/>
      <c r="BD3" s="769"/>
      <c r="BE3" s="769"/>
    </row>
    <row r="5" spans="1:70" ht="21" customHeight="1" x14ac:dyDescent="0.25">
      <c r="AY5" s="781" t="s">
        <v>0</v>
      </c>
      <c r="AZ5" s="781"/>
      <c r="BA5" s="781"/>
      <c r="BB5" s="781"/>
      <c r="BC5" s="781"/>
      <c r="BD5" s="781"/>
      <c r="BE5" s="781"/>
    </row>
    <row r="6" spans="1:70" s="314" customFormat="1" ht="27.75" customHeight="1" x14ac:dyDescent="0.25">
      <c r="A6" s="776" t="s">
        <v>1</v>
      </c>
      <c r="B6" s="782" t="s">
        <v>218</v>
      </c>
      <c r="C6" s="776" t="s">
        <v>567</v>
      </c>
      <c r="D6" s="776"/>
      <c r="E6" s="776"/>
      <c r="F6" s="771" t="s">
        <v>219</v>
      </c>
      <c r="G6" s="772"/>
      <c r="H6" s="772"/>
      <c r="I6" s="772"/>
      <c r="J6" s="772"/>
      <c r="K6" s="772"/>
      <c r="L6" s="773"/>
      <c r="M6" s="776" t="s">
        <v>220</v>
      </c>
      <c r="N6" s="776"/>
      <c r="O6" s="776"/>
      <c r="P6" s="776"/>
      <c r="Q6" s="776"/>
      <c r="R6" s="776"/>
      <c r="S6" s="776"/>
      <c r="T6" s="776" t="s">
        <v>221</v>
      </c>
      <c r="U6" s="776"/>
      <c r="V6" s="776"/>
      <c r="W6" s="776" t="s">
        <v>222</v>
      </c>
      <c r="X6" s="776"/>
      <c r="Y6" s="776"/>
      <c r="Z6" s="776"/>
      <c r="AA6" s="776"/>
      <c r="AB6" s="776"/>
      <c r="AC6" s="776"/>
      <c r="AD6" s="776"/>
      <c r="AE6" s="776"/>
      <c r="AF6" s="776"/>
      <c r="AG6" s="776"/>
      <c r="AH6" s="776"/>
      <c r="AI6" s="776"/>
      <c r="AJ6" s="776" t="s">
        <v>159</v>
      </c>
      <c r="AK6" s="776"/>
      <c r="AL6" s="776"/>
      <c r="AM6" s="776" t="s">
        <v>223</v>
      </c>
      <c r="AN6" s="776"/>
      <c r="AO6" s="776"/>
      <c r="AP6" s="776" t="s">
        <v>165</v>
      </c>
      <c r="AQ6" s="776"/>
      <c r="AR6" s="776"/>
      <c r="AS6" s="776" t="s">
        <v>224</v>
      </c>
      <c r="AT6" s="776"/>
      <c r="AU6" s="776"/>
      <c r="AV6" s="776" t="s">
        <v>225</v>
      </c>
      <c r="AW6" s="776"/>
      <c r="AX6" s="776"/>
      <c r="AY6" s="776"/>
      <c r="AZ6" s="776"/>
      <c r="BA6" s="776"/>
      <c r="BB6" s="776"/>
      <c r="BC6" s="776"/>
      <c r="BD6" s="776"/>
      <c r="BE6" s="776"/>
    </row>
    <row r="7" spans="1:70" s="314" customFormat="1" ht="42" customHeight="1" x14ac:dyDescent="0.25">
      <c r="A7" s="776"/>
      <c r="B7" s="782"/>
      <c r="C7" s="776"/>
      <c r="D7" s="776"/>
      <c r="E7" s="776"/>
      <c r="F7" s="771" t="s">
        <v>201</v>
      </c>
      <c r="G7" s="772"/>
      <c r="H7" s="772"/>
      <c r="I7" s="772"/>
      <c r="J7" s="772"/>
      <c r="K7" s="772"/>
      <c r="L7" s="773"/>
      <c r="M7" s="771" t="s">
        <v>201</v>
      </c>
      <c r="N7" s="772"/>
      <c r="O7" s="772"/>
      <c r="P7" s="772"/>
      <c r="Q7" s="772"/>
      <c r="R7" s="772"/>
      <c r="S7" s="773"/>
      <c r="T7" s="771" t="s">
        <v>201</v>
      </c>
      <c r="U7" s="772"/>
      <c r="V7" s="773"/>
      <c r="W7" s="771" t="s">
        <v>594</v>
      </c>
      <c r="X7" s="772"/>
      <c r="Y7" s="772"/>
      <c r="Z7" s="772"/>
      <c r="AA7" s="772"/>
      <c r="AB7" s="772"/>
      <c r="AC7" s="772"/>
      <c r="AD7" s="772"/>
      <c r="AE7" s="772"/>
      <c r="AF7" s="772"/>
      <c r="AG7" s="772"/>
      <c r="AH7" s="772"/>
      <c r="AI7" s="773"/>
      <c r="AJ7" s="771" t="s">
        <v>595</v>
      </c>
      <c r="AK7" s="772"/>
      <c r="AL7" s="773"/>
      <c r="AM7" s="771" t="s">
        <v>596</v>
      </c>
      <c r="AN7" s="772"/>
      <c r="AO7" s="773"/>
      <c r="AP7" s="771" t="s">
        <v>597</v>
      </c>
      <c r="AQ7" s="772"/>
      <c r="AR7" s="773"/>
      <c r="AS7" s="771" t="s">
        <v>597</v>
      </c>
      <c r="AT7" s="772"/>
      <c r="AU7" s="773"/>
      <c r="AV7" s="774" t="s">
        <v>230</v>
      </c>
      <c r="AW7" s="771" t="s">
        <v>595</v>
      </c>
      <c r="AX7" s="772"/>
      <c r="AY7" s="772"/>
      <c r="AZ7" s="772"/>
      <c r="BA7" s="772"/>
      <c r="BB7" s="773"/>
      <c r="BC7" s="771" t="s">
        <v>201</v>
      </c>
      <c r="BD7" s="772"/>
      <c r="BE7" s="773"/>
    </row>
    <row r="8" spans="1:70" s="314" customFormat="1" ht="27.75" customHeight="1" x14ac:dyDescent="0.25">
      <c r="A8" s="776"/>
      <c r="B8" s="782"/>
      <c r="C8" s="776"/>
      <c r="D8" s="776"/>
      <c r="E8" s="776"/>
      <c r="F8" s="774" t="s">
        <v>226</v>
      </c>
      <c r="G8" s="771" t="s">
        <v>568</v>
      </c>
      <c r="H8" s="772"/>
      <c r="I8" s="773"/>
      <c r="J8" s="771" t="s">
        <v>569</v>
      </c>
      <c r="K8" s="772"/>
      <c r="L8" s="773"/>
      <c r="M8" s="774" t="s">
        <v>227</v>
      </c>
      <c r="N8" s="776" t="s">
        <v>150</v>
      </c>
      <c r="O8" s="776"/>
      <c r="P8" s="776"/>
      <c r="Q8" s="776" t="s">
        <v>166</v>
      </c>
      <c r="R8" s="776"/>
      <c r="S8" s="776"/>
      <c r="T8" s="776" t="s">
        <v>231</v>
      </c>
      <c r="U8" s="776" t="s">
        <v>150</v>
      </c>
      <c r="V8" s="776"/>
      <c r="W8" s="776" t="s">
        <v>228</v>
      </c>
      <c r="X8" s="776" t="s">
        <v>150</v>
      </c>
      <c r="Y8" s="776"/>
      <c r="Z8" s="776"/>
      <c r="AA8" s="776" t="s">
        <v>166</v>
      </c>
      <c r="AB8" s="776"/>
      <c r="AC8" s="776"/>
      <c r="AD8" s="776" t="s">
        <v>153</v>
      </c>
      <c r="AE8" s="776"/>
      <c r="AF8" s="776"/>
      <c r="AG8" s="776" t="s">
        <v>157</v>
      </c>
      <c r="AH8" s="776"/>
      <c r="AI8" s="776"/>
      <c r="AJ8" s="776" t="s">
        <v>233</v>
      </c>
      <c r="AK8" s="776" t="s">
        <v>202</v>
      </c>
      <c r="AL8" s="776"/>
      <c r="AM8" s="776" t="s">
        <v>234</v>
      </c>
      <c r="AN8" s="776" t="s">
        <v>202</v>
      </c>
      <c r="AO8" s="776"/>
      <c r="AP8" s="776" t="s">
        <v>229</v>
      </c>
      <c r="AQ8" s="776" t="s">
        <v>202</v>
      </c>
      <c r="AR8" s="776"/>
      <c r="AS8" s="776" t="s">
        <v>235</v>
      </c>
      <c r="AT8" s="776" t="s">
        <v>166</v>
      </c>
      <c r="AU8" s="776"/>
      <c r="AV8" s="777"/>
      <c r="AW8" s="776" t="s">
        <v>150</v>
      </c>
      <c r="AX8" s="776"/>
      <c r="AY8" s="776"/>
      <c r="AZ8" s="776" t="s">
        <v>166</v>
      </c>
      <c r="BA8" s="776"/>
      <c r="BB8" s="776"/>
      <c r="BC8" s="776" t="s">
        <v>153</v>
      </c>
      <c r="BD8" s="776"/>
      <c r="BE8" s="776"/>
    </row>
    <row r="9" spans="1:70" s="314" customFormat="1" ht="27.75" customHeight="1" x14ac:dyDescent="0.25">
      <c r="A9" s="776"/>
      <c r="B9" s="782"/>
      <c r="C9" s="776" t="s">
        <v>33</v>
      </c>
      <c r="D9" s="776" t="s">
        <v>202</v>
      </c>
      <c r="E9" s="776"/>
      <c r="F9" s="777"/>
      <c r="G9" s="774" t="s">
        <v>33</v>
      </c>
      <c r="H9" s="776" t="s">
        <v>202</v>
      </c>
      <c r="I9" s="776"/>
      <c r="J9" s="774" t="s">
        <v>33</v>
      </c>
      <c r="K9" s="776" t="s">
        <v>202</v>
      </c>
      <c r="L9" s="776"/>
      <c r="M9" s="777"/>
      <c r="N9" s="776" t="s">
        <v>33</v>
      </c>
      <c r="O9" s="776" t="s">
        <v>202</v>
      </c>
      <c r="P9" s="776"/>
      <c r="Q9" s="776" t="s">
        <v>33</v>
      </c>
      <c r="R9" s="776" t="s">
        <v>202</v>
      </c>
      <c r="S9" s="776"/>
      <c r="T9" s="776"/>
      <c r="U9" s="776" t="s">
        <v>202</v>
      </c>
      <c r="V9" s="776"/>
      <c r="W9" s="776"/>
      <c r="X9" s="776" t="s">
        <v>232</v>
      </c>
      <c r="Y9" s="776" t="s">
        <v>202</v>
      </c>
      <c r="Z9" s="776"/>
      <c r="AA9" s="776" t="s">
        <v>232</v>
      </c>
      <c r="AB9" s="776" t="s">
        <v>202</v>
      </c>
      <c r="AC9" s="776"/>
      <c r="AD9" s="776" t="s">
        <v>232</v>
      </c>
      <c r="AE9" s="776" t="s">
        <v>202</v>
      </c>
      <c r="AF9" s="776"/>
      <c r="AG9" s="776" t="s">
        <v>232</v>
      </c>
      <c r="AH9" s="776" t="s">
        <v>202</v>
      </c>
      <c r="AI9" s="776"/>
      <c r="AJ9" s="776"/>
      <c r="AK9" s="776"/>
      <c r="AL9" s="776"/>
      <c r="AM9" s="776"/>
      <c r="AN9" s="776"/>
      <c r="AO9" s="776"/>
      <c r="AP9" s="776"/>
      <c r="AQ9" s="776"/>
      <c r="AR9" s="776"/>
      <c r="AS9" s="776"/>
      <c r="AT9" s="776" t="s">
        <v>202</v>
      </c>
      <c r="AU9" s="776"/>
      <c r="AV9" s="777"/>
      <c r="AW9" s="776" t="s">
        <v>33</v>
      </c>
      <c r="AX9" s="776" t="s">
        <v>202</v>
      </c>
      <c r="AY9" s="776"/>
      <c r="AZ9" s="776" t="s">
        <v>33</v>
      </c>
      <c r="BA9" s="776" t="s">
        <v>202</v>
      </c>
      <c r="BB9" s="776"/>
      <c r="BC9" s="776" t="s">
        <v>33</v>
      </c>
      <c r="BD9" s="776" t="s">
        <v>202</v>
      </c>
      <c r="BE9" s="776"/>
    </row>
    <row r="10" spans="1:70" ht="69" customHeight="1" x14ac:dyDescent="0.25">
      <c r="A10" s="776"/>
      <c r="B10" s="782"/>
      <c r="C10" s="776"/>
      <c r="D10" s="353" t="s">
        <v>180</v>
      </c>
      <c r="E10" s="353" t="s">
        <v>236</v>
      </c>
      <c r="F10" s="775"/>
      <c r="G10" s="775"/>
      <c r="H10" s="353" t="s">
        <v>180</v>
      </c>
      <c r="I10" s="353" t="s">
        <v>236</v>
      </c>
      <c r="J10" s="775"/>
      <c r="K10" s="353" t="s">
        <v>180</v>
      </c>
      <c r="L10" s="353" t="s">
        <v>236</v>
      </c>
      <c r="M10" s="775"/>
      <c r="N10" s="776"/>
      <c r="O10" s="353" t="s">
        <v>180</v>
      </c>
      <c r="P10" s="353" t="s">
        <v>236</v>
      </c>
      <c r="Q10" s="776"/>
      <c r="R10" s="353" t="s">
        <v>180</v>
      </c>
      <c r="S10" s="353" t="s">
        <v>236</v>
      </c>
      <c r="T10" s="776"/>
      <c r="U10" s="353" t="s">
        <v>180</v>
      </c>
      <c r="V10" s="353" t="s">
        <v>236</v>
      </c>
      <c r="W10" s="776"/>
      <c r="X10" s="776"/>
      <c r="Y10" s="353" t="s">
        <v>180</v>
      </c>
      <c r="Z10" s="353" t="s">
        <v>236</v>
      </c>
      <c r="AA10" s="776"/>
      <c r="AB10" s="353" t="s">
        <v>180</v>
      </c>
      <c r="AC10" s="353" t="s">
        <v>236</v>
      </c>
      <c r="AD10" s="776"/>
      <c r="AE10" s="353" t="s">
        <v>180</v>
      </c>
      <c r="AF10" s="353" t="s">
        <v>236</v>
      </c>
      <c r="AG10" s="776"/>
      <c r="AH10" s="353" t="s">
        <v>180</v>
      </c>
      <c r="AI10" s="353" t="s">
        <v>236</v>
      </c>
      <c r="AJ10" s="776"/>
      <c r="AK10" s="353" t="s">
        <v>180</v>
      </c>
      <c r="AL10" s="353" t="s">
        <v>236</v>
      </c>
      <c r="AM10" s="776"/>
      <c r="AN10" s="353" t="s">
        <v>180</v>
      </c>
      <c r="AO10" s="353" t="s">
        <v>236</v>
      </c>
      <c r="AP10" s="776"/>
      <c r="AQ10" s="353" t="s">
        <v>180</v>
      </c>
      <c r="AR10" s="353" t="s">
        <v>236</v>
      </c>
      <c r="AS10" s="776"/>
      <c r="AT10" s="353" t="s">
        <v>180</v>
      </c>
      <c r="AU10" s="353" t="s">
        <v>236</v>
      </c>
      <c r="AV10" s="775"/>
      <c r="AW10" s="776"/>
      <c r="AX10" s="353" t="s">
        <v>180</v>
      </c>
      <c r="AY10" s="353" t="s">
        <v>236</v>
      </c>
      <c r="AZ10" s="776"/>
      <c r="BA10" s="516" t="s">
        <v>180</v>
      </c>
      <c r="BB10" s="516" t="s">
        <v>236</v>
      </c>
      <c r="BC10" s="776"/>
      <c r="BD10" s="353" t="s">
        <v>180</v>
      </c>
      <c r="BE10" s="353" t="s">
        <v>236</v>
      </c>
    </row>
    <row r="11" spans="1:70" s="2" customFormat="1" ht="33" customHeight="1" x14ac:dyDescent="0.25">
      <c r="A11" s="315"/>
      <c r="B11" s="717" t="s">
        <v>6</v>
      </c>
      <c r="C11" s="619">
        <f>C12+C38</f>
        <v>373538</v>
      </c>
      <c r="D11" s="619">
        <f t="shared" ref="D11:BE11" si="0">D12+D38</f>
        <v>355750</v>
      </c>
      <c r="E11" s="619">
        <f t="shared" si="0"/>
        <v>17788</v>
      </c>
      <c r="F11" s="619">
        <f t="shared" si="0"/>
        <v>5817</v>
      </c>
      <c r="G11" s="619">
        <f t="shared" si="0"/>
        <v>1852</v>
      </c>
      <c r="H11" s="619">
        <f t="shared" si="0"/>
        <v>1763</v>
      </c>
      <c r="I11" s="619">
        <f t="shared" si="0"/>
        <v>89</v>
      </c>
      <c r="J11" s="619">
        <f t="shared" si="0"/>
        <v>3965</v>
      </c>
      <c r="K11" s="619">
        <f t="shared" si="0"/>
        <v>3778</v>
      </c>
      <c r="L11" s="619">
        <f t="shared" si="0"/>
        <v>187</v>
      </c>
      <c r="M11" s="619">
        <f t="shared" si="0"/>
        <v>203534</v>
      </c>
      <c r="N11" s="619">
        <f t="shared" si="0"/>
        <v>105131</v>
      </c>
      <c r="O11" s="619">
        <f t="shared" si="0"/>
        <v>105131</v>
      </c>
      <c r="P11" s="619">
        <f t="shared" si="0"/>
        <v>0</v>
      </c>
      <c r="Q11" s="619">
        <f t="shared" si="0"/>
        <v>98403</v>
      </c>
      <c r="R11" s="619">
        <f t="shared" si="0"/>
        <v>88711</v>
      </c>
      <c r="S11" s="619">
        <f t="shared" si="0"/>
        <v>9692</v>
      </c>
      <c r="T11" s="619">
        <f t="shared" si="0"/>
        <v>19817</v>
      </c>
      <c r="U11" s="619">
        <f t="shared" si="0"/>
        <v>18873</v>
      </c>
      <c r="V11" s="619">
        <f t="shared" si="0"/>
        <v>944</v>
      </c>
      <c r="W11" s="619">
        <f t="shared" si="0"/>
        <v>76035</v>
      </c>
      <c r="X11" s="619">
        <f t="shared" si="0"/>
        <v>15572</v>
      </c>
      <c r="Y11" s="619">
        <f t="shared" si="0"/>
        <v>14398</v>
      </c>
      <c r="Z11" s="619">
        <f t="shared" si="0"/>
        <v>1174</v>
      </c>
      <c r="AA11" s="619">
        <f t="shared" si="0"/>
        <v>12785</v>
      </c>
      <c r="AB11" s="619">
        <f t="shared" si="0"/>
        <v>12785</v>
      </c>
      <c r="AC11" s="619">
        <f t="shared" si="0"/>
        <v>0</v>
      </c>
      <c r="AD11" s="619">
        <f t="shared" si="0"/>
        <v>32447</v>
      </c>
      <c r="AE11" s="619">
        <f t="shared" si="0"/>
        <v>30000</v>
      </c>
      <c r="AF11" s="619">
        <f t="shared" si="0"/>
        <v>2447</v>
      </c>
      <c r="AG11" s="619">
        <f t="shared" si="0"/>
        <v>15231</v>
      </c>
      <c r="AH11" s="619">
        <f t="shared" si="0"/>
        <v>15231</v>
      </c>
      <c r="AI11" s="619">
        <f t="shared" si="0"/>
        <v>0</v>
      </c>
      <c r="AJ11" s="619">
        <f t="shared" si="0"/>
        <v>11798</v>
      </c>
      <c r="AK11" s="619">
        <f t="shared" si="0"/>
        <v>11235</v>
      </c>
      <c r="AL11" s="619">
        <f t="shared" si="0"/>
        <v>563</v>
      </c>
      <c r="AM11" s="619">
        <f t="shared" si="0"/>
        <v>10957</v>
      </c>
      <c r="AN11" s="619">
        <f t="shared" si="0"/>
        <v>10435</v>
      </c>
      <c r="AO11" s="619">
        <f t="shared" si="0"/>
        <v>522</v>
      </c>
      <c r="AP11" s="619">
        <f t="shared" si="0"/>
        <v>28558</v>
      </c>
      <c r="AQ11" s="619">
        <f t="shared" si="0"/>
        <v>27198</v>
      </c>
      <c r="AR11" s="619">
        <f t="shared" si="0"/>
        <v>1360</v>
      </c>
      <c r="AS11" s="619">
        <f t="shared" si="0"/>
        <v>4152</v>
      </c>
      <c r="AT11" s="619">
        <f t="shared" si="0"/>
        <v>3955</v>
      </c>
      <c r="AU11" s="619">
        <f t="shared" si="0"/>
        <v>197</v>
      </c>
      <c r="AV11" s="619">
        <f t="shared" si="0"/>
        <v>12870</v>
      </c>
      <c r="AW11" s="619">
        <f t="shared" si="0"/>
        <v>8968</v>
      </c>
      <c r="AX11" s="619">
        <f t="shared" si="0"/>
        <v>8489</v>
      </c>
      <c r="AY11" s="619">
        <f t="shared" si="0"/>
        <v>479</v>
      </c>
      <c r="AZ11" s="619">
        <f t="shared" ref="AZ11:BB11" si="1">AZ12+AZ38</f>
        <v>1416</v>
      </c>
      <c r="BA11" s="619">
        <f t="shared" si="1"/>
        <v>1416</v>
      </c>
      <c r="BB11" s="619">
        <f t="shared" si="1"/>
        <v>0</v>
      </c>
      <c r="BC11" s="619">
        <f t="shared" si="0"/>
        <v>2486</v>
      </c>
      <c r="BD11" s="619">
        <f t="shared" si="0"/>
        <v>2352</v>
      </c>
      <c r="BE11" s="619">
        <f t="shared" si="0"/>
        <v>134</v>
      </c>
      <c r="BF11" s="780" t="s">
        <v>237</v>
      </c>
      <c r="BG11" s="779"/>
      <c r="BH11" s="779" t="s">
        <v>238</v>
      </c>
      <c r="BI11" s="779"/>
      <c r="BJ11" s="779" t="s">
        <v>239</v>
      </c>
      <c r="BK11" s="779"/>
      <c r="BL11" s="779" t="s">
        <v>240</v>
      </c>
      <c r="BM11" s="779"/>
      <c r="BN11" s="779" t="s">
        <v>241</v>
      </c>
      <c r="BO11" s="779"/>
      <c r="BQ11" s="93" t="e">
        <f>#REF!+P11+V11+#REF!+#REF!+BE11</f>
        <v>#REF!</v>
      </c>
      <c r="BR11" s="93">
        <f t="shared" ref="BR11:BR46" si="2">I11+AR11</f>
        <v>1449</v>
      </c>
    </row>
    <row r="12" spans="1:70" s="2" customFormat="1" ht="22.5" customHeight="1" x14ac:dyDescent="0.25">
      <c r="A12" s="192" t="s">
        <v>46</v>
      </c>
      <c r="B12" s="718" t="s">
        <v>203</v>
      </c>
      <c r="C12" s="620">
        <f>SUM(C13:C37)</f>
        <v>55295</v>
      </c>
      <c r="D12" s="620">
        <f t="shared" ref="D12:BE12" si="3">SUM(D13:D37)</f>
        <v>52659</v>
      </c>
      <c r="E12" s="620">
        <f t="shared" si="3"/>
        <v>2636</v>
      </c>
      <c r="F12" s="620">
        <f t="shared" si="3"/>
        <v>0</v>
      </c>
      <c r="G12" s="620">
        <f t="shared" si="3"/>
        <v>0</v>
      </c>
      <c r="H12" s="620">
        <f t="shared" si="3"/>
        <v>0</v>
      </c>
      <c r="I12" s="620">
        <f t="shared" si="3"/>
        <v>0</v>
      </c>
      <c r="J12" s="620">
        <f t="shared" si="3"/>
        <v>0</v>
      </c>
      <c r="K12" s="620">
        <f t="shared" si="3"/>
        <v>0</v>
      </c>
      <c r="L12" s="620">
        <f t="shared" si="3"/>
        <v>0</v>
      </c>
      <c r="M12" s="620">
        <f t="shared" si="3"/>
        <v>11402</v>
      </c>
      <c r="N12" s="620">
        <f t="shared" si="3"/>
        <v>1025</v>
      </c>
      <c r="O12" s="620">
        <f t="shared" si="3"/>
        <v>1025</v>
      </c>
      <c r="P12" s="620">
        <f t="shared" si="3"/>
        <v>0</v>
      </c>
      <c r="Q12" s="620">
        <f t="shared" si="3"/>
        <v>10377</v>
      </c>
      <c r="R12" s="620">
        <f t="shared" si="3"/>
        <v>9355</v>
      </c>
      <c r="S12" s="620">
        <f t="shared" si="3"/>
        <v>1022</v>
      </c>
      <c r="T12" s="620">
        <f t="shared" si="3"/>
        <v>0</v>
      </c>
      <c r="U12" s="620">
        <f t="shared" si="3"/>
        <v>0</v>
      </c>
      <c r="V12" s="620">
        <f t="shared" si="3"/>
        <v>0</v>
      </c>
      <c r="W12" s="620">
        <f t="shared" si="3"/>
        <v>13826</v>
      </c>
      <c r="X12" s="620">
        <f t="shared" si="3"/>
        <v>1893</v>
      </c>
      <c r="Y12" s="620">
        <f t="shared" si="3"/>
        <v>1751</v>
      </c>
      <c r="Z12" s="620">
        <f t="shared" si="3"/>
        <v>142</v>
      </c>
      <c r="AA12" s="620">
        <f t="shared" si="3"/>
        <v>10360</v>
      </c>
      <c r="AB12" s="620">
        <f t="shared" si="3"/>
        <v>10360</v>
      </c>
      <c r="AC12" s="620">
        <f t="shared" si="3"/>
        <v>0</v>
      </c>
      <c r="AD12" s="620">
        <f t="shared" si="3"/>
        <v>811</v>
      </c>
      <c r="AE12" s="620">
        <f t="shared" si="3"/>
        <v>750</v>
      </c>
      <c r="AF12" s="620">
        <f t="shared" si="3"/>
        <v>61</v>
      </c>
      <c r="AG12" s="620">
        <f t="shared" si="3"/>
        <v>762</v>
      </c>
      <c r="AH12" s="620">
        <f t="shared" si="3"/>
        <v>762</v>
      </c>
      <c r="AI12" s="620">
        <f t="shared" si="3"/>
        <v>0</v>
      </c>
      <c r="AJ12" s="620">
        <f t="shared" si="3"/>
        <v>8324</v>
      </c>
      <c r="AK12" s="620">
        <f t="shared" si="3"/>
        <v>7928</v>
      </c>
      <c r="AL12" s="620">
        <f t="shared" si="3"/>
        <v>396</v>
      </c>
      <c r="AM12" s="620">
        <f t="shared" si="3"/>
        <v>10957</v>
      </c>
      <c r="AN12" s="620">
        <f t="shared" si="3"/>
        <v>10435</v>
      </c>
      <c r="AO12" s="620">
        <f t="shared" si="3"/>
        <v>522</v>
      </c>
      <c r="AP12" s="620">
        <f t="shared" si="3"/>
        <v>3426</v>
      </c>
      <c r="AQ12" s="620">
        <f t="shared" si="3"/>
        <v>3264</v>
      </c>
      <c r="AR12" s="620">
        <f t="shared" si="3"/>
        <v>162</v>
      </c>
      <c r="AS12" s="620">
        <f t="shared" si="3"/>
        <v>831</v>
      </c>
      <c r="AT12" s="620">
        <f t="shared" si="3"/>
        <v>791</v>
      </c>
      <c r="AU12" s="620">
        <f t="shared" si="3"/>
        <v>40</v>
      </c>
      <c r="AV12" s="620">
        <f t="shared" si="3"/>
        <v>6529</v>
      </c>
      <c r="AW12" s="620">
        <f t="shared" si="3"/>
        <v>4484</v>
      </c>
      <c r="AX12" s="620">
        <f t="shared" si="3"/>
        <v>4244</v>
      </c>
      <c r="AY12" s="620">
        <f t="shared" si="3"/>
        <v>240</v>
      </c>
      <c r="AZ12" s="620">
        <f t="shared" ref="AZ12:BB12" si="4">SUM(AZ13:AZ37)</f>
        <v>949</v>
      </c>
      <c r="BA12" s="620">
        <f t="shared" si="4"/>
        <v>949</v>
      </c>
      <c r="BB12" s="620">
        <f t="shared" si="4"/>
        <v>0</v>
      </c>
      <c r="BC12" s="620">
        <f t="shared" si="3"/>
        <v>1096</v>
      </c>
      <c r="BD12" s="620">
        <f t="shared" si="3"/>
        <v>1045</v>
      </c>
      <c r="BE12" s="620">
        <f t="shared" si="3"/>
        <v>51</v>
      </c>
      <c r="BF12" s="316" t="s">
        <v>242</v>
      </c>
      <c r="BG12" s="316" t="s">
        <v>243</v>
      </c>
      <c r="BH12" s="316" t="s">
        <v>242</v>
      </c>
      <c r="BI12" s="316" t="s">
        <v>243</v>
      </c>
      <c r="BJ12" s="316" t="s">
        <v>242</v>
      </c>
      <c r="BK12" s="316" t="s">
        <v>243</v>
      </c>
      <c r="BL12" s="316" t="s">
        <v>242</v>
      </c>
      <c r="BM12" s="316" t="s">
        <v>243</v>
      </c>
      <c r="BN12" s="316" t="s">
        <v>242</v>
      </c>
      <c r="BO12" s="316" t="s">
        <v>243</v>
      </c>
      <c r="BQ12" s="317" t="e">
        <f>#REF!+P12+V12+#REF!+#REF!+BE12</f>
        <v>#REF!</v>
      </c>
      <c r="BR12" s="317">
        <f t="shared" si="2"/>
        <v>162</v>
      </c>
    </row>
    <row r="13" spans="1:70" ht="22.5" customHeight="1" x14ac:dyDescent="0.25">
      <c r="A13" s="318">
        <v>1</v>
      </c>
      <c r="B13" s="719" t="s">
        <v>129</v>
      </c>
      <c r="C13" s="621">
        <f>SUM(D13:E13)</f>
        <v>4661</v>
      </c>
      <c r="D13" s="622">
        <f>H13+O13+R13+U13+Y13+AB13+AE13+AH13+AK13+AN13+AQ13+AT13+AX13+BD13+K13+BA13</f>
        <v>4455</v>
      </c>
      <c r="E13" s="622">
        <f>I13+P13+S13+V13+Z13+AC13+AF13+AI13+AL13+AO13+AR13+AU13+AY13+BE13+L13+BB13</f>
        <v>206</v>
      </c>
      <c r="F13" s="622">
        <f>G13+J13</f>
        <v>0</v>
      </c>
      <c r="G13" s="621">
        <f>SUM(H13:I13)</f>
        <v>0</v>
      </c>
      <c r="H13" s="621"/>
      <c r="I13" s="621"/>
      <c r="J13" s="621">
        <f>SUM(K13:L13)</f>
        <v>0</v>
      </c>
      <c r="K13" s="621"/>
      <c r="L13" s="621"/>
      <c r="M13" s="621">
        <f>N13+Q13</f>
        <v>0</v>
      </c>
      <c r="N13" s="621">
        <f>SUM(O13:P13)</f>
        <v>0</v>
      </c>
      <c r="O13" s="621"/>
      <c r="P13" s="621"/>
      <c r="Q13" s="621">
        <f>SUM(R13:S13)</f>
        <v>0</v>
      </c>
      <c r="R13" s="621"/>
      <c r="S13" s="621"/>
      <c r="T13" s="621">
        <f>SUM(U13:V13)</f>
        <v>0</v>
      </c>
      <c r="U13" s="621"/>
      <c r="V13" s="621"/>
      <c r="W13" s="621">
        <f>X13+AA13+AD13+AG13</f>
        <v>762</v>
      </c>
      <c r="X13" s="621">
        <f>SUM(Y13:Z13)</f>
        <v>0</v>
      </c>
      <c r="Y13" s="621"/>
      <c r="Z13" s="621"/>
      <c r="AA13" s="621">
        <f>SUM(AB13:AC13)</f>
        <v>0</v>
      </c>
      <c r="AB13" s="621"/>
      <c r="AC13" s="621"/>
      <c r="AD13" s="621">
        <f>SUM(AE13:AF13)</f>
        <v>0</v>
      </c>
      <c r="AE13" s="621"/>
      <c r="AF13" s="621"/>
      <c r="AG13" s="621">
        <f>SUM(AH13:AI13)</f>
        <v>762</v>
      </c>
      <c r="AH13" s="621">
        <f>'B10-TDA4,DA5'!E11</f>
        <v>762</v>
      </c>
      <c r="AI13" s="621"/>
      <c r="AJ13" s="621">
        <f>SUM(AK13:AL13)</f>
        <v>0</v>
      </c>
      <c r="AK13" s="621"/>
      <c r="AL13" s="621"/>
      <c r="AM13" s="621">
        <f>SUM(AN13:AO13)</f>
        <v>0</v>
      </c>
      <c r="AN13" s="621"/>
      <c r="AO13" s="621"/>
      <c r="AP13" s="621">
        <f>SUM(AQ13:AR13)</f>
        <v>0</v>
      </c>
      <c r="AQ13" s="621"/>
      <c r="AR13" s="621"/>
      <c r="AS13" s="621">
        <f>SUM(AT13:AU13)</f>
        <v>499</v>
      </c>
      <c r="AT13" s="621">
        <f>'B14-TDA2,DA9'!E17</f>
        <v>475</v>
      </c>
      <c r="AU13" s="621">
        <f>'B14-TDA2,DA9'!E19</f>
        <v>24</v>
      </c>
      <c r="AV13" s="621">
        <f>AW13+BC13+AZ13</f>
        <v>3400</v>
      </c>
      <c r="AW13" s="621">
        <f>SUM(AX13:AY13)</f>
        <v>3139</v>
      </c>
      <c r="AX13" s="621">
        <f>'B15-TDA1,DA10'!E9</f>
        <v>2971</v>
      </c>
      <c r="AY13" s="621">
        <f>'B15-TDA1,DA10'!E11</f>
        <v>168</v>
      </c>
      <c r="AZ13" s="621">
        <f>SUM(BA13:BB13)</f>
        <v>0</v>
      </c>
      <c r="BA13" s="621"/>
      <c r="BB13" s="621"/>
      <c r="BC13" s="621">
        <f>SUM(BD13:BE13)</f>
        <v>261</v>
      </c>
      <c r="BD13" s="621">
        <f>'B17-TDA3,DA10'!D77</f>
        <v>247</v>
      </c>
      <c r="BE13" s="621">
        <f>'B17-TDA3,DA10'!E77</f>
        <v>14</v>
      </c>
      <c r="BF13" s="317" t="e">
        <f>Y13+#REF!+AE13+AH13</f>
        <v>#REF!</v>
      </c>
      <c r="BG13" s="317" t="e">
        <f>Z13+#REF!+AF13+AI13</f>
        <v>#REF!</v>
      </c>
      <c r="BH13" s="317">
        <f t="shared" ref="BH13:BH34" si="5">R13+AN13</f>
        <v>0</v>
      </c>
      <c r="BI13" s="317">
        <f t="shared" ref="BI13:BI34" si="6">S13+AO13</f>
        <v>0</v>
      </c>
      <c r="BJ13" s="320" t="e">
        <f>AK13+AX13+#REF!</f>
        <v>#REF!</v>
      </c>
      <c r="BK13" s="320" t="e">
        <f>AL13+AY13+#REF!</f>
        <v>#REF!</v>
      </c>
      <c r="BL13" s="320" t="e">
        <f>#REF!+O13+#REF!+BD13+U13+#REF!</f>
        <v>#REF!</v>
      </c>
      <c r="BM13" s="320" t="e">
        <f>#REF!+P13+#REF!+BE13+V13+#REF!</f>
        <v>#REF!</v>
      </c>
      <c r="BN13" s="320">
        <f t="shared" ref="BN13:BN34" si="7">H13+AQ13</f>
        <v>0</v>
      </c>
      <c r="BO13" s="320">
        <f t="shared" ref="BO13:BO34" si="8">I13+AR13</f>
        <v>0</v>
      </c>
      <c r="BQ13" s="317" t="e">
        <f>#REF!+P13+V13+#REF!+#REF!+BE13</f>
        <v>#REF!</v>
      </c>
      <c r="BR13" s="317">
        <f t="shared" si="2"/>
        <v>0</v>
      </c>
    </row>
    <row r="14" spans="1:70" ht="22.5" customHeight="1" x14ac:dyDescent="0.25">
      <c r="A14" s="318">
        <v>2</v>
      </c>
      <c r="B14" s="719" t="s">
        <v>181</v>
      </c>
      <c r="C14" s="621">
        <f t="shared" ref="C14:C46" si="9">SUM(D14:E14)</f>
        <v>733</v>
      </c>
      <c r="D14" s="622">
        <f t="shared" ref="D14:D46" si="10">H14+O14+R14+U14+Y14+AB14+AE14+AH14+AK14+AN14+AQ14+AT14+AX14+BD14+K14+BA14</f>
        <v>732</v>
      </c>
      <c r="E14" s="622">
        <f t="shared" ref="E14:E46" si="11">I14+P14+S14+V14+Z14+AC14+AF14+AI14+AL14+AO14+AR14+AU14+AY14+BE14+L14+BB14</f>
        <v>1</v>
      </c>
      <c r="F14" s="622">
        <f t="shared" ref="F14:F46" si="12">G14+J14</f>
        <v>0</v>
      </c>
      <c r="G14" s="621">
        <f t="shared" ref="G14:G46" si="13">SUM(H14:I14)</f>
        <v>0</v>
      </c>
      <c r="H14" s="621"/>
      <c r="I14" s="621"/>
      <c r="J14" s="621">
        <f t="shared" ref="J14:J46" si="14">SUM(K14:L14)</f>
        <v>0</v>
      </c>
      <c r="K14" s="621"/>
      <c r="L14" s="621"/>
      <c r="M14" s="621">
        <f t="shared" ref="M14:M46" si="15">N14+Q14</f>
        <v>0</v>
      </c>
      <c r="N14" s="621">
        <f t="shared" ref="N14:N46" si="16">SUM(O14:P14)</f>
        <v>0</v>
      </c>
      <c r="O14" s="621"/>
      <c r="P14" s="621"/>
      <c r="Q14" s="621">
        <f t="shared" ref="Q14:Q46" si="17">SUM(R14:S14)</f>
        <v>0</v>
      </c>
      <c r="R14" s="621"/>
      <c r="S14" s="621"/>
      <c r="T14" s="621">
        <f t="shared" ref="T14:T46" si="18">SUM(U14:V14)</f>
        <v>0</v>
      </c>
      <c r="U14" s="621"/>
      <c r="V14" s="621"/>
      <c r="W14" s="621">
        <f t="shared" ref="W14:W46" si="19">X14+AA14+AD14+AG14</f>
        <v>0</v>
      </c>
      <c r="X14" s="621">
        <f t="shared" ref="X14:X46" si="20">SUM(Y14:Z14)</f>
        <v>0</v>
      </c>
      <c r="Y14" s="621"/>
      <c r="Z14" s="621"/>
      <c r="AA14" s="621">
        <f t="shared" ref="AA14:AA46" si="21">SUM(AB14:AC14)</f>
        <v>0</v>
      </c>
      <c r="AB14" s="621"/>
      <c r="AC14" s="621"/>
      <c r="AD14" s="621">
        <f t="shared" ref="AD14:AD46" si="22">SUM(AE14:AF14)</f>
        <v>0</v>
      </c>
      <c r="AE14" s="621"/>
      <c r="AF14" s="621"/>
      <c r="AG14" s="621">
        <f t="shared" ref="AG14:AG46" si="23">SUM(AH14:AI14)</f>
        <v>0</v>
      </c>
      <c r="AH14" s="621"/>
      <c r="AI14" s="621"/>
      <c r="AJ14" s="621">
        <f t="shared" ref="AJ14:AJ46" si="24">SUM(AK14:AL14)</f>
        <v>0</v>
      </c>
      <c r="AK14" s="621"/>
      <c r="AL14" s="621"/>
      <c r="AM14" s="621">
        <f t="shared" ref="AM14:AM46" si="25">SUM(AN14:AO14)</f>
        <v>0</v>
      </c>
      <c r="AN14" s="621"/>
      <c r="AO14" s="621"/>
      <c r="AP14" s="621">
        <f t="shared" ref="AP14:AP46" si="26">SUM(AQ14:AR14)</f>
        <v>0</v>
      </c>
      <c r="AQ14" s="621"/>
      <c r="AR14" s="621"/>
      <c r="AS14" s="621">
        <f t="shared" ref="AS14:AS46" si="27">SUM(AT14:AU14)</f>
        <v>0</v>
      </c>
      <c r="AT14" s="621"/>
      <c r="AU14" s="621"/>
      <c r="AV14" s="621">
        <f t="shared" ref="AV14:AV37" si="28">AW14+BC14+AZ14</f>
        <v>733</v>
      </c>
      <c r="AW14" s="621">
        <f t="shared" ref="AW14:AW46" si="29">SUM(AX14:AY14)</f>
        <v>0</v>
      </c>
      <c r="AX14" s="621"/>
      <c r="AY14" s="621"/>
      <c r="AZ14" s="621">
        <f t="shared" ref="AZ14:AZ37" si="30">SUM(BA14:BB14)</f>
        <v>708</v>
      </c>
      <c r="BA14" s="621">
        <f>'B16-TDA2,DA10'!F11</f>
        <v>708</v>
      </c>
      <c r="BB14" s="621"/>
      <c r="BC14" s="621">
        <f t="shared" ref="BC14:BC46" si="31">SUM(BD14:BE14)</f>
        <v>25</v>
      </c>
      <c r="BD14" s="621">
        <f>'B17-TDA3,DA10'!D96</f>
        <v>24</v>
      </c>
      <c r="BE14" s="621">
        <f>'B17-TDA3,DA10'!E96</f>
        <v>1</v>
      </c>
      <c r="BF14" s="317" t="e">
        <f>Y14+#REF!+AE14+AH14</f>
        <v>#REF!</v>
      </c>
      <c r="BG14" s="317" t="e">
        <f>Z14+#REF!+AF14+AI14</f>
        <v>#REF!</v>
      </c>
      <c r="BH14" s="317">
        <f t="shared" si="5"/>
        <v>0</v>
      </c>
      <c r="BI14" s="317">
        <f t="shared" si="6"/>
        <v>0</v>
      </c>
      <c r="BJ14" s="320" t="e">
        <f>AK14+AX14+#REF!</f>
        <v>#REF!</v>
      </c>
      <c r="BK14" s="320" t="e">
        <f>AL14+AY14+#REF!</f>
        <v>#REF!</v>
      </c>
      <c r="BL14" s="320" t="e">
        <f>#REF!+O14+#REF!+BD14+U14+#REF!</f>
        <v>#REF!</v>
      </c>
      <c r="BM14" s="320" t="e">
        <f>#REF!+P14+#REF!+BE14+V14+#REF!</f>
        <v>#REF!</v>
      </c>
      <c r="BN14" s="320">
        <f t="shared" si="7"/>
        <v>0</v>
      </c>
      <c r="BO14" s="320">
        <f t="shared" si="8"/>
        <v>0</v>
      </c>
      <c r="BQ14" s="317" t="e">
        <f>#REF!+P14+V14+#REF!+#REF!+BE14</f>
        <v>#REF!</v>
      </c>
      <c r="BR14" s="317">
        <f t="shared" si="2"/>
        <v>0</v>
      </c>
    </row>
    <row r="15" spans="1:70" ht="29.25" customHeight="1" x14ac:dyDescent="0.25">
      <c r="A15" s="318">
        <v>3</v>
      </c>
      <c r="B15" s="719" t="s">
        <v>182</v>
      </c>
      <c r="C15" s="621">
        <f t="shared" si="9"/>
        <v>10439</v>
      </c>
      <c r="D15" s="622">
        <f t="shared" si="10"/>
        <v>9414</v>
      </c>
      <c r="E15" s="622">
        <f t="shared" si="11"/>
        <v>1025</v>
      </c>
      <c r="F15" s="622">
        <f t="shared" si="12"/>
        <v>0</v>
      </c>
      <c r="G15" s="621">
        <f t="shared" si="13"/>
        <v>0</v>
      </c>
      <c r="H15" s="621"/>
      <c r="I15" s="621"/>
      <c r="J15" s="621">
        <f t="shared" si="14"/>
        <v>0</v>
      </c>
      <c r="K15" s="621"/>
      <c r="L15" s="621"/>
      <c r="M15" s="621">
        <f t="shared" si="15"/>
        <v>10377</v>
      </c>
      <c r="N15" s="621">
        <f t="shared" si="16"/>
        <v>0</v>
      </c>
      <c r="O15" s="621"/>
      <c r="P15" s="621"/>
      <c r="Q15" s="621">
        <f t="shared" si="17"/>
        <v>10377</v>
      </c>
      <c r="R15" s="621">
        <f>'B5-TDA2,DA3'!N17</f>
        <v>9355</v>
      </c>
      <c r="S15" s="621">
        <f>'B5-TDA2,DA3'!N18</f>
        <v>1022</v>
      </c>
      <c r="T15" s="621">
        <f t="shared" si="18"/>
        <v>0</v>
      </c>
      <c r="U15" s="621"/>
      <c r="V15" s="621"/>
      <c r="W15" s="621">
        <f t="shared" si="19"/>
        <v>0</v>
      </c>
      <c r="X15" s="621">
        <f t="shared" si="20"/>
        <v>0</v>
      </c>
      <c r="Y15" s="621"/>
      <c r="Z15" s="621"/>
      <c r="AA15" s="621">
        <f t="shared" si="21"/>
        <v>0</v>
      </c>
      <c r="AB15" s="621"/>
      <c r="AC15" s="621"/>
      <c r="AD15" s="621">
        <f t="shared" si="22"/>
        <v>0</v>
      </c>
      <c r="AE15" s="621"/>
      <c r="AF15" s="621"/>
      <c r="AG15" s="621">
        <f t="shared" si="23"/>
        <v>0</v>
      </c>
      <c r="AH15" s="621"/>
      <c r="AI15" s="621"/>
      <c r="AJ15" s="621">
        <f t="shared" si="24"/>
        <v>0</v>
      </c>
      <c r="AK15" s="621"/>
      <c r="AL15" s="621"/>
      <c r="AM15" s="621">
        <f t="shared" si="25"/>
        <v>0</v>
      </c>
      <c r="AN15" s="621"/>
      <c r="AO15" s="621"/>
      <c r="AP15" s="621">
        <f t="shared" si="26"/>
        <v>0</v>
      </c>
      <c r="AQ15" s="621"/>
      <c r="AR15" s="621"/>
      <c r="AS15" s="621">
        <f t="shared" si="27"/>
        <v>0</v>
      </c>
      <c r="AT15" s="621"/>
      <c r="AU15" s="621"/>
      <c r="AV15" s="621">
        <f t="shared" si="28"/>
        <v>62</v>
      </c>
      <c r="AW15" s="621">
        <f t="shared" si="29"/>
        <v>0</v>
      </c>
      <c r="AX15" s="621"/>
      <c r="AY15" s="621"/>
      <c r="AZ15" s="621">
        <f t="shared" si="30"/>
        <v>0</v>
      </c>
      <c r="BA15" s="621"/>
      <c r="BB15" s="621"/>
      <c r="BC15" s="621">
        <f t="shared" si="31"/>
        <v>62</v>
      </c>
      <c r="BD15" s="621">
        <f>'B17-TDA3,DA10'!D78</f>
        <v>59</v>
      </c>
      <c r="BE15" s="621">
        <f>'B17-TDA3,DA10'!E78</f>
        <v>3</v>
      </c>
      <c r="BF15" s="317" t="e">
        <f>Y15+#REF!+AE15+AH15</f>
        <v>#REF!</v>
      </c>
      <c r="BG15" s="317" t="e">
        <f>Z15+#REF!+AF15+AI15</f>
        <v>#REF!</v>
      </c>
      <c r="BH15" s="317">
        <f t="shared" si="5"/>
        <v>9355</v>
      </c>
      <c r="BI15" s="317">
        <f t="shared" si="6"/>
        <v>1022</v>
      </c>
      <c r="BJ15" s="320" t="e">
        <f>AK15+AX15+#REF!</f>
        <v>#REF!</v>
      </c>
      <c r="BK15" s="320" t="e">
        <f>AL15+AY15+#REF!</f>
        <v>#REF!</v>
      </c>
      <c r="BL15" s="320" t="e">
        <f>#REF!+O15+#REF!+BD15+U15+#REF!</f>
        <v>#REF!</v>
      </c>
      <c r="BM15" s="320" t="e">
        <f>#REF!+P15+#REF!+BE15+V15+#REF!</f>
        <v>#REF!</v>
      </c>
      <c r="BN15" s="320">
        <f t="shared" si="7"/>
        <v>0</v>
      </c>
      <c r="BO15" s="320">
        <f t="shared" si="8"/>
        <v>0</v>
      </c>
      <c r="BQ15" s="317" t="e">
        <f>#REF!+P15+V15+#REF!+#REF!+BE15</f>
        <v>#REF!</v>
      </c>
      <c r="BR15" s="317">
        <f t="shared" si="2"/>
        <v>0</v>
      </c>
    </row>
    <row r="16" spans="1:70" ht="22.5" customHeight="1" x14ac:dyDescent="0.25">
      <c r="A16" s="318">
        <v>4</v>
      </c>
      <c r="B16" s="719" t="s">
        <v>183</v>
      </c>
      <c r="C16" s="621">
        <f t="shared" si="9"/>
        <v>11816</v>
      </c>
      <c r="D16" s="622">
        <f t="shared" si="10"/>
        <v>11673</v>
      </c>
      <c r="E16" s="622">
        <f t="shared" si="11"/>
        <v>143</v>
      </c>
      <c r="F16" s="622">
        <f t="shared" si="12"/>
        <v>0</v>
      </c>
      <c r="G16" s="621">
        <f t="shared" si="13"/>
        <v>0</v>
      </c>
      <c r="H16" s="621"/>
      <c r="I16" s="621"/>
      <c r="J16" s="621">
        <f t="shared" si="14"/>
        <v>0</v>
      </c>
      <c r="K16" s="621"/>
      <c r="L16" s="621"/>
      <c r="M16" s="621">
        <f t="shared" si="15"/>
        <v>0</v>
      </c>
      <c r="N16" s="621">
        <f t="shared" si="16"/>
        <v>0</v>
      </c>
      <c r="O16" s="621"/>
      <c r="P16" s="621"/>
      <c r="Q16" s="621">
        <f t="shared" si="17"/>
        <v>0</v>
      </c>
      <c r="R16" s="621"/>
      <c r="S16" s="621"/>
      <c r="T16" s="621">
        <f t="shared" si="18"/>
        <v>0</v>
      </c>
      <c r="U16" s="621"/>
      <c r="V16" s="621"/>
      <c r="W16" s="621">
        <f t="shared" si="19"/>
        <v>11791</v>
      </c>
      <c r="X16" s="621">
        <f t="shared" si="20"/>
        <v>1893</v>
      </c>
      <c r="Y16" s="621">
        <f>'B7-TDA1,DA5'!E16+'B7-TDA1,DA5'!F16</f>
        <v>1751</v>
      </c>
      <c r="Z16" s="621">
        <f>'B7-TDA1,DA5'!E18+'B7-TDA1,DA5'!F18</f>
        <v>142</v>
      </c>
      <c r="AA16" s="621">
        <f t="shared" si="21"/>
        <v>9898</v>
      </c>
      <c r="AB16" s="621">
        <f>'B8-TDA2, DA5'!E9</f>
        <v>9898</v>
      </c>
      <c r="AC16" s="621"/>
      <c r="AD16" s="621">
        <f t="shared" si="22"/>
        <v>0</v>
      </c>
      <c r="AE16" s="621"/>
      <c r="AF16" s="621"/>
      <c r="AG16" s="621">
        <f t="shared" si="23"/>
        <v>0</v>
      </c>
      <c r="AH16" s="621"/>
      <c r="AI16" s="621"/>
      <c r="AJ16" s="621">
        <f t="shared" si="24"/>
        <v>0</v>
      </c>
      <c r="AK16" s="621"/>
      <c r="AL16" s="621"/>
      <c r="AM16" s="621">
        <f t="shared" si="25"/>
        <v>0</v>
      </c>
      <c r="AN16" s="621"/>
      <c r="AO16" s="621"/>
      <c r="AP16" s="621">
        <f t="shared" si="26"/>
        <v>0</v>
      </c>
      <c r="AQ16" s="621"/>
      <c r="AR16" s="621"/>
      <c r="AS16" s="621">
        <f t="shared" si="27"/>
        <v>0</v>
      </c>
      <c r="AT16" s="621"/>
      <c r="AU16" s="621"/>
      <c r="AV16" s="621">
        <f t="shared" si="28"/>
        <v>25</v>
      </c>
      <c r="AW16" s="621">
        <f t="shared" si="29"/>
        <v>0</v>
      </c>
      <c r="AX16" s="621"/>
      <c r="AY16" s="621"/>
      <c r="AZ16" s="621">
        <f t="shared" si="30"/>
        <v>0</v>
      </c>
      <c r="BA16" s="621"/>
      <c r="BB16" s="621"/>
      <c r="BC16" s="621">
        <f t="shared" si="31"/>
        <v>25</v>
      </c>
      <c r="BD16" s="621">
        <f>'B17-TDA3,DA10'!D79</f>
        <v>24</v>
      </c>
      <c r="BE16" s="621">
        <f>'B17-TDA3,DA10'!E79</f>
        <v>1</v>
      </c>
      <c r="BF16" s="317" t="e">
        <f>Y16+#REF!+AE16+AH16</f>
        <v>#REF!</v>
      </c>
      <c r="BG16" s="317" t="e">
        <f>Z16+#REF!+AF16+AI16</f>
        <v>#REF!</v>
      </c>
      <c r="BH16" s="317">
        <f t="shared" si="5"/>
        <v>0</v>
      </c>
      <c r="BI16" s="317">
        <f t="shared" si="6"/>
        <v>0</v>
      </c>
      <c r="BJ16" s="320" t="e">
        <f>AK16+AX16+#REF!</f>
        <v>#REF!</v>
      </c>
      <c r="BK16" s="320" t="e">
        <f>AL16+AY16+#REF!</f>
        <v>#REF!</v>
      </c>
      <c r="BL16" s="320" t="e">
        <f>#REF!+O16+#REF!+BD16+U16+#REF!</f>
        <v>#REF!</v>
      </c>
      <c r="BM16" s="320" t="e">
        <f>#REF!+P16+#REF!+BE16+V16+#REF!</f>
        <v>#REF!</v>
      </c>
      <c r="BN16" s="320">
        <f t="shared" si="7"/>
        <v>0</v>
      </c>
      <c r="BO16" s="320">
        <f t="shared" si="8"/>
        <v>0</v>
      </c>
      <c r="BQ16" s="317" t="e">
        <f>#REF!+P16+V16+#REF!+#REF!+BE16</f>
        <v>#REF!</v>
      </c>
      <c r="BR16" s="317">
        <f t="shared" si="2"/>
        <v>0</v>
      </c>
    </row>
    <row r="17" spans="1:70" ht="22.5" customHeight="1" x14ac:dyDescent="0.25">
      <c r="A17" s="318">
        <v>5</v>
      </c>
      <c r="B17" s="719" t="s">
        <v>184</v>
      </c>
      <c r="C17" s="621">
        <f t="shared" si="9"/>
        <v>25</v>
      </c>
      <c r="D17" s="622">
        <f t="shared" si="10"/>
        <v>24</v>
      </c>
      <c r="E17" s="622">
        <f t="shared" si="11"/>
        <v>1</v>
      </c>
      <c r="F17" s="622">
        <f t="shared" si="12"/>
        <v>0</v>
      </c>
      <c r="G17" s="621">
        <f t="shared" si="13"/>
        <v>0</v>
      </c>
      <c r="H17" s="621"/>
      <c r="I17" s="621"/>
      <c r="J17" s="621">
        <f t="shared" si="14"/>
        <v>0</v>
      </c>
      <c r="K17" s="621"/>
      <c r="L17" s="621"/>
      <c r="M17" s="621">
        <f t="shared" si="15"/>
        <v>0</v>
      </c>
      <c r="N17" s="621">
        <f t="shared" si="16"/>
        <v>0</v>
      </c>
      <c r="O17" s="621"/>
      <c r="P17" s="621"/>
      <c r="Q17" s="621">
        <f t="shared" si="17"/>
        <v>0</v>
      </c>
      <c r="R17" s="621"/>
      <c r="S17" s="621"/>
      <c r="T17" s="621">
        <f t="shared" si="18"/>
        <v>0</v>
      </c>
      <c r="U17" s="621"/>
      <c r="V17" s="621"/>
      <c r="W17" s="621">
        <f t="shared" si="19"/>
        <v>0</v>
      </c>
      <c r="X17" s="621">
        <f t="shared" si="20"/>
        <v>0</v>
      </c>
      <c r="Y17" s="621"/>
      <c r="Z17" s="621"/>
      <c r="AA17" s="621">
        <f t="shared" si="21"/>
        <v>0</v>
      </c>
      <c r="AB17" s="621"/>
      <c r="AC17" s="621"/>
      <c r="AD17" s="621">
        <f t="shared" si="22"/>
        <v>0</v>
      </c>
      <c r="AE17" s="621"/>
      <c r="AF17" s="621"/>
      <c r="AG17" s="621">
        <f t="shared" si="23"/>
        <v>0</v>
      </c>
      <c r="AH17" s="621"/>
      <c r="AI17" s="621"/>
      <c r="AJ17" s="621">
        <f t="shared" si="24"/>
        <v>0</v>
      </c>
      <c r="AK17" s="621"/>
      <c r="AL17" s="621"/>
      <c r="AM17" s="621">
        <f t="shared" si="25"/>
        <v>0</v>
      </c>
      <c r="AN17" s="621"/>
      <c r="AO17" s="621"/>
      <c r="AP17" s="621">
        <f t="shared" si="26"/>
        <v>0</v>
      </c>
      <c r="AQ17" s="621"/>
      <c r="AR17" s="621"/>
      <c r="AS17" s="621">
        <f t="shared" si="27"/>
        <v>0</v>
      </c>
      <c r="AT17" s="621"/>
      <c r="AU17" s="621"/>
      <c r="AV17" s="621">
        <f t="shared" si="28"/>
        <v>25</v>
      </c>
      <c r="AW17" s="621">
        <f t="shared" si="29"/>
        <v>0</v>
      </c>
      <c r="AX17" s="621"/>
      <c r="AY17" s="621"/>
      <c r="AZ17" s="621">
        <f t="shared" si="30"/>
        <v>0</v>
      </c>
      <c r="BA17" s="621"/>
      <c r="BB17" s="621"/>
      <c r="BC17" s="621">
        <f t="shared" si="31"/>
        <v>25</v>
      </c>
      <c r="BD17" s="621">
        <f>'B17-TDA3,DA10'!D80</f>
        <v>24</v>
      </c>
      <c r="BE17" s="621">
        <f>'B17-TDA3,DA10'!E80</f>
        <v>1</v>
      </c>
      <c r="BF17" s="317" t="e">
        <f>Y17+#REF!+AE17+AH17</f>
        <v>#REF!</v>
      </c>
      <c r="BG17" s="317" t="e">
        <f>Z17+#REF!+AF17+AI17</f>
        <v>#REF!</v>
      </c>
      <c r="BH17" s="317">
        <f t="shared" si="5"/>
        <v>0</v>
      </c>
      <c r="BI17" s="317">
        <f t="shared" si="6"/>
        <v>0</v>
      </c>
      <c r="BJ17" s="320" t="e">
        <f>AK17+AX17+#REF!</f>
        <v>#REF!</v>
      </c>
      <c r="BK17" s="320" t="e">
        <f>AL17+AY17+#REF!</f>
        <v>#REF!</v>
      </c>
      <c r="BL17" s="320" t="e">
        <f>#REF!+O17+#REF!+BD17+U17+#REF!</f>
        <v>#REF!</v>
      </c>
      <c r="BM17" s="320" t="e">
        <f>#REF!+P17+#REF!+BE17+V17+#REF!</f>
        <v>#REF!</v>
      </c>
      <c r="BN17" s="320">
        <f t="shared" si="7"/>
        <v>0</v>
      </c>
      <c r="BO17" s="320">
        <f t="shared" si="8"/>
        <v>0</v>
      </c>
      <c r="BQ17" s="317" t="e">
        <f>#REF!+P17+V17+#REF!+#REF!+BE17</f>
        <v>#REF!</v>
      </c>
      <c r="BR17" s="317">
        <f t="shared" si="2"/>
        <v>0</v>
      </c>
    </row>
    <row r="18" spans="1:70" ht="22.5" customHeight="1" x14ac:dyDescent="0.25">
      <c r="A18" s="318">
        <v>6</v>
      </c>
      <c r="B18" s="719" t="s">
        <v>92</v>
      </c>
      <c r="C18" s="621">
        <f t="shared" si="9"/>
        <v>836</v>
      </c>
      <c r="D18" s="622">
        <f t="shared" si="10"/>
        <v>774</v>
      </c>
      <c r="E18" s="622">
        <f t="shared" si="11"/>
        <v>62</v>
      </c>
      <c r="F18" s="622">
        <f t="shared" si="12"/>
        <v>0</v>
      </c>
      <c r="G18" s="621">
        <f t="shared" si="13"/>
        <v>0</v>
      </c>
      <c r="H18" s="621"/>
      <c r="I18" s="621"/>
      <c r="J18" s="621">
        <f t="shared" si="14"/>
        <v>0</v>
      </c>
      <c r="K18" s="621"/>
      <c r="L18" s="621"/>
      <c r="M18" s="621">
        <f t="shared" si="15"/>
        <v>0</v>
      </c>
      <c r="N18" s="621">
        <f t="shared" si="16"/>
        <v>0</v>
      </c>
      <c r="O18" s="621"/>
      <c r="P18" s="621"/>
      <c r="Q18" s="621">
        <f t="shared" si="17"/>
        <v>0</v>
      </c>
      <c r="R18" s="621"/>
      <c r="S18" s="621"/>
      <c r="T18" s="621">
        <f t="shared" si="18"/>
        <v>0</v>
      </c>
      <c r="U18" s="621"/>
      <c r="V18" s="621"/>
      <c r="W18" s="621">
        <f t="shared" si="19"/>
        <v>811</v>
      </c>
      <c r="X18" s="621">
        <f t="shared" si="20"/>
        <v>0</v>
      </c>
      <c r="Y18" s="621"/>
      <c r="Z18" s="621"/>
      <c r="AA18" s="621">
        <f t="shared" si="21"/>
        <v>0</v>
      </c>
      <c r="AB18" s="621"/>
      <c r="AC18" s="621"/>
      <c r="AD18" s="621">
        <f t="shared" si="22"/>
        <v>811</v>
      </c>
      <c r="AE18" s="621">
        <f>'B9-TDA3,DA5'!E9</f>
        <v>750</v>
      </c>
      <c r="AF18" s="621">
        <f>'B9-TDA3,DA5'!E11</f>
        <v>61</v>
      </c>
      <c r="AG18" s="621">
        <f t="shared" si="23"/>
        <v>0</v>
      </c>
      <c r="AH18" s="621"/>
      <c r="AI18" s="621"/>
      <c r="AJ18" s="621">
        <f t="shared" si="24"/>
        <v>0</v>
      </c>
      <c r="AK18" s="621"/>
      <c r="AL18" s="621"/>
      <c r="AM18" s="621">
        <f t="shared" si="25"/>
        <v>0</v>
      </c>
      <c r="AN18" s="621"/>
      <c r="AO18" s="621"/>
      <c r="AP18" s="621">
        <f t="shared" si="26"/>
        <v>0</v>
      </c>
      <c r="AQ18" s="621"/>
      <c r="AR18" s="621"/>
      <c r="AS18" s="621">
        <f t="shared" si="27"/>
        <v>0</v>
      </c>
      <c r="AT18" s="621"/>
      <c r="AU18" s="621"/>
      <c r="AV18" s="621">
        <f t="shared" si="28"/>
        <v>25</v>
      </c>
      <c r="AW18" s="621">
        <f t="shared" si="29"/>
        <v>0</v>
      </c>
      <c r="AX18" s="621"/>
      <c r="AY18" s="621"/>
      <c r="AZ18" s="621">
        <f t="shared" si="30"/>
        <v>0</v>
      </c>
      <c r="BA18" s="621"/>
      <c r="BB18" s="621"/>
      <c r="BC18" s="621">
        <f t="shared" si="31"/>
        <v>25</v>
      </c>
      <c r="BD18" s="621">
        <f>'B17-TDA3,DA10'!D81</f>
        <v>24</v>
      </c>
      <c r="BE18" s="621">
        <f>'B17-TDA3,DA10'!E81</f>
        <v>1</v>
      </c>
      <c r="BF18" s="317" t="e">
        <f>Y18+#REF!+AE18+AH18</f>
        <v>#REF!</v>
      </c>
      <c r="BG18" s="317" t="e">
        <f>Z18+#REF!+AF18+AI18</f>
        <v>#REF!</v>
      </c>
      <c r="BH18" s="317">
        <f t="shared" si="5"/>
        <v>0</v>
      </c>
      <c r="BI18" s="317">
        <f t="shared" si="6"/>
        <v>0</v>
      </c>
      <c r="BJ18" s="320" t="e">
        <f>AK18+AX18+#REF!</f>
        <v>#REF!</v>
      </c>
      <c r="BK18" s="320" t="e">
        <f>AL18+AY18+#REF!</f>
        <v>#REF!</v>
      </c>
      <c r="BL18" s="320" t="e">
        <f>#REF!+O18+#REF!+BD18+U18+#REF!</f>
        <v>#REF!</v>
      </c>
      <c r="BM18" s="320" t="e">
        <f>#REF!+P18+#REF!+BE18+V18+#REF!</f>
        <v>#REF!</v>
      </c>
      <c r="BN18" s="320">
        <f t="shared" si="7"/>
        <v>0</v>
      </c>
      <c r="BO18" s="320">
        <f t="shared" si="8"/>
        <v>0</v>
      </c>
      <c r="BQ18" s="317" t="e">
        <f>#REF!+P18+V18+#REF!+#REF!+BE18</f>
        <v>#REF!</v>
      </c>
      <c r="BR18" s="317">
        <f t="shared" si="2"/>
        <v>0</v>
      </c>
    </row>
    <row r="19" spans="1:70" ht="22.5" customHeight="1" x14ac:dyDescent="0.25">
      <c r="A19" s="318">
        <v>7</v>
      </c>
      <c r="B19" s="719" t="s">
        <v>158</v>
      </c>
      <c r="C19" s="621">
        <f t="shared" si="9"/>
        <v>8349</v>
      </c>
      <c r="D19" s="622">
        <f t="shared" si="10"/>
        <v>7952</v>
      </c>
      <c r="E19" s="622">
        <f t="shared" si="11"/>
        <v>397</v>
      </c>
      <c r="F19" s="622">
        <f t="shared" si="12"/>
        <v>0</v>
      </c>
      <c r="G19" s="621">
        <f t="shared" si="13"/>
        <v>0</v>
      </c>
      <c r="H19" s="621"/>
      <c r="I19" s="621"/>
      <c r="J19" s="621">
        <f t="shared" si="14"/>
        <v>0</v>
      </c>
      <c r="K19" s="621"/>
      <c r="L19" s="621"/>
      <c r="M19" s="621">
        <f t="shared" si="15"/>
        <v>0</v>
      </c>
      <c r="N19" s="621">
        <f t="shared" si="16"/>
        <v>0</v>
      </c>
      <c r="O19" s="621"/>
      <c r="P19" s="621"/>
      <c r="Q19" s="621">
        <f t="shared" si="17"/>
        <v>0</v>
      </c>
      <c r="R19" s="621"/>
      <c r="S19" s="621"/>
      <c r="T19" s="621">
        <f t="shared" si="18"/>
        <v>0</v>
      </c>
      <c r="U19" s="621"/>
      <c r="V19" s="621"/>
      <c r="W19" s="621">
        <f t="shared" si="19"/>
        <v>0</v>
      </c>
      <c r="X19" s="621">
        <f t="shared" si="20"/>
        <v>0</v>
      </c>
      <c r="Y19" s="621"/>
      <c r="Z19" s="621"/>
      <c r="AA19" s="621">
        <f t="shared" si="21"/>
        <v>0</v>
      </c>
      <c r="AB19" s="621"/>
      <c r="AC19" s="621"/>
      <c r="AD19" s="621">
        <f t="shared" si="22"/>
        <v>0</v>
      </c>
      <c r="AE19" s="621"/>
      <c r="AF19" s="621"/>
      <c r="AG19" s="621">
        <f t="shared" si="23"/>
        <v>0</v>
      </c>
      <c r="AH19" s="621"/>
      <c r="AI19" s="621"/>
      <c r="AJ19" s="621">
        <f t="shared" si="24"/>
        <v>8324</v>
      </c>
      <c r="AK19" s="621">
        <f>'B11-DA6'!E33+'B11-DA6'!F33</f>
        <v>7928</v>
      </c>
      <c r="AL19" s="621">
        <f>'B11-DA6'!E35+'B11-DA6'!F35</f>
        <v>396</v>
      </c>
      <c r="AM19" s="621">
        <f t="shared" si="25"/>
        <v>0</v>
      </c>
      <c r="AN19" s="621"/>
      <c r="AO19" s="621"/>
      <c r="AP19" s="621">
        <f t="shared" si="26"/>
        <v>0</v>
      </c>
      <c r="AQ19" s="621"/>
      <c r="AR19" s="621"/>
      <c r="AS19" s="621">
        <f t="shared" si="27"/>
        <v>0</v>
      </c>
      <c r="AT19" s="621"/>
      <c r="AU19" s="621"/>
      <c r="AV19" s="621">
        <f t="shared" si="28"/>
        <v>25</v>
      </c>
      <c r="AW19" s="621">
        <f t="shared" si="29"/>
        <v>0</v>
      </c>
      <c r="AX19" s="621"/>
      <c r="AY19" s="621"/>
      <c r="AZ19" s="621">
        <f t="shared" si="30"/>
        <v>0</v>
      </c>
      <c r="BA19" s="621"/>
      <c r="BB19" s="621"/>
      <c r="BC19" s="621">
        <f t="shared" si="31"/>
        <v>25</v>
      </c>
      <c r="BD19" s="621">
        <f>'B17-TDA3,DA10'!D82</f>
        <v>24</v>
      </c>
      <c r="BE19" s="621">
        <f>'B17-TDA3,DA10'!E82</f>
        <v>1</v>
      </c>
      <c r="BF19" s="317" t="e">
        <f>Y19+#REF!+AE19+AH19</f>
        <v>#REF!</v>
      </c>
      <c r="BG19" s="317" t="e">
        <f>Z19+#REF!+AF19+AI19</f>
        <v>#REF!</v>
      </c>
      <c r="BH19" s="317">
        <f t="shared" si="5"/>
        <v>0</v>
      </c>
      <c r="BI19" s="317">
        <f t="shared" si="6"/>
        <v>0</v>
      </c>
      <c r="BJ19" s="320" t="e">
        <f>AK19+AX19+#REF!</f>
        <v>#REF!</v>
      </c>
      <c r="BK19" s="320" t="e">
        <f>AL19+AY19+#REF!</f>
        <v>#REF!</v>
      </c>
      <c r="BL19" s="320" t="e">
        <f>#REF!+O19+#REF!+BD19+U19+#REF!</f>
        <v>#REF!</v>
      </c>
      <c r="BM19" s="320" t="e">
        <f>#REF!+P19+#REF!+BE19+V19+#REF!</f>
        <v>#REF!</v>
      </c>
      <c r="BN19" s="320">
        <f t="shared" si="7"/>
        <v>0</v>
      </c>
      <c r="BO19" s="320">
        <f t="shared" si="8"/>
        <v>0</v>
      </c>
      <c r="BQ19" s="317" t="e">
        <f>#REF!+P19+V19+#REF!+#REF!+BE19</f>
        <v>#REF!</v>
      </c>
      <c r="BR19" s="317">
        <f t="shared" si="2"/>
        <v>0</v>
      </c>
    </row>
    <row r="20" spans="1:70" ht="22.5" customHeight="1" x14ac:dyDescent="0.25">
      <c r="A20" s="318">
        <v>8</v>
      </c>
      <c r="B20" s="719" t="s">
        <v>117</v>
      </c>
      <c r="C20" s="621">
        <f t="shared" si="9"/>
        <v>11314</v>
      </c>
      <c r="D20" s="622">
        <f t="shared" si="10"/>
        <v>10775</v>
      </c>
      <c r="E20" s="622">
        <f t="shared" si="11"/>
        <v>539</v>
      </c>
      <c r="F20" s="622">
        <f t="shared" si="12"/>
        <v>0</v>
      </c>
      <c r="G20" s="621">
        <f t="shared" si="13"/>
        <v>0</v>
      </c>
      <c r="H20" s="621"/>
      <c r="I20" s="621"/>
      <c r="J20" s="621">
        <f t="shared" si="14"/>
        <v>0</v>
      </c>
      <c r="K20" s="621"/>
      <c r="L20" s="621"/>
      <c r="M20" s="621">
        <f t="shared" si="15"/>
        <v>0</v>
      </c>
      <c r="N20" s="621">
        <f t="shared" si="16"/>
        <v>0</v>
      </c>
      <c r="O20" s="621"/>
      <c r="P20" s="621"/>
      <c r="Q20" s="621">
        <f t="shared" si="17"/>
        <v>0</v>
      </c>
      <c r="R20" s="621"/>
      <c r="S20" s="621"/>
      <c r="T20" s="621">
        <f t="shared" si="18"/>
        <v>0</v>
      </c>
      <c r="U20" s="621"/>
      <c r="V20" s="621"/>
      <c r="W20" s="621">
        <f t="shared" si="19"/>
        <v>0</v>
      </c>
      <c r="X20" s="621">
        <f t="shared" si="20"/>
        <v>0</v>
      </c>
      <c r="Y20" s="621"/>
      <c r="Z20" s="621"/>
      <c r="AA20" s="621">
        <f t="shared" si="21"/>
        <v>0</v>
      </c>
      <c r="AB20" s="621"/>
      <c r="AC20" s="621"/>
      <c r="AD20" s="621">
        <f t="shared" si="22"/>
        <v>0</v>
      </c>
      <c r="AE20" s="621"/>
      <c r="AF20" s="621"/>
      <c r="AG20" s="621">
        <f t="shared" si="23"/>
        <v>0</v>
      </c>
      <c r="AH20" s="621"/>
      <c r="AI20" s="621"/>
      <c r="AJ20" s="621">
        <f t="shared" si="24"/>
        <v>0</v>
      </c>
      <c r="AK20" s="621"/>
      <c r="AL20" s="621"/>
      <c r="AM20" s="621">
        <f t="shared" si="25"/>
        <v>10957</v>
      </c>
      <c r="AN20" s="621">
        <f>'B12-DA7'!E7</f>
        <v>10435</v>
      </c>
      <c r="AO20" s="621">
        <f>'B12-DA7'!G7</f>
        <v>522</v>
      </c>
      <c r="AP20" s="621">
        <f t="shared" si="26"/>
        <v>0</v>
      </c>
      <c r="AQ20" s="621"/>
      <c r="AR20" s="621"/>
      <c r="AS20" s="621">
        <f t="shared" si="27"/>
        <v>332</v>
      </c>
      <c r="AT20" s="621">
        <f>'B14-TDA2,DA9'!F17</f>
        <v>316</v>
      </c>
      <c r="AU20" s="621">
        <f>'B14-TDA2,DA9'!F19</f>
        <v>16</v>
      </c>
      <c r="AV20" s="621">
        <f t="shared" si="28"/>
        <v>25</v>
      </c>
      <c r="AW20" s="621">
        <f t="shared" si="29"/>
        <v>0</v>
      </c>
      <c r="AX20" s="621"/>
      <c r="AY20" s="621"/>
      <c r="AZ20" s="621">
        <f t="shared" si="30"/>
        <v>0</v>
      </c>
      <c r="BA20" s="621"/>
      <c r="BB20" s="621"/>
      <c r="BC20" s="621">
        <f t="shared" si="31"/>
        <v>25</v>
      </c>
      <c r="BD20" s="621">
        <f>'B17-TDA3,DA10'!D83</f>
        <v>24</v>
      </c>
      <c r="BE20" s="621">
        <f>'B17-TDA3,DA10'!E83</f>
        <v>1</v>
      </c>
      <c r="BF20" s="317" t="e">
        <f>Y20+#REF!+AE20+AH20</f>
        <v>#REF!</v>
      </c>
      <c r="BG20" s="317" t="e">
        <f>Z20+#REF!+AF20+AI20</f>
        <v>#REF!</v>
      </c>
      <c r="BH20" s="317">
        <f t="shared" si="5"/>
        <v>10435</v>
      </c>
      <c r="BI20" s="317">
        <f t="shared" si="6"/>
        <v>522</v>
      </c>
      <c r="BJ20" s="320" t="e">
        <f>AK20+AX20+#REF!</f>
        <v>#REF!</v>
      </c>
      <c r="BK20" s="320" t="e">
        <f>AL20+AY20+#REF!</f>
        <v>#REF!</v>
      </c>
      <c r="BL20" s="320" t="e">
        <f>#REF!+O20+#REF!+BD20+U20+#REF!</f>
        <v>#REF!</v>
      </c>
      <c r="BM20" s="320" t="e">
        <f>#REF!+P20+#REF!+BE20+V20+#REF!</f>
        <v>#REF!</v>
      </c>
      <c r="BN20" s="320">
        <f t="shared" si="7"/>
        <v>0</v>
      </c>
      <c r="BO20" s="320">
        <f t="shared" si="8"/>
        <v>0</v>
      </c>
      <c r="BQ20" s="317" t="e">
        <f>#REF!+P20+V20+#REF!+#REF!+BE20</f>
        <v>#REF!</v>
      </c>
      <c r="BR20" s="317">
        <f t="shared" si="2"/>
        <v>0</v>
      </c>
    </row>
    <row r="21" spans="1:70" ht="22.5" customHeight="1" x14ac:dyDescent="0.25">
      <c r="A21" s="318">
        <v>9</v>
      </c>
      <c r="B21" s="719" t="s">
        <v>121</v>
      </c>
      <c r="C21" s="621">
        <f t="shared" si="9"/>
        <v>3451</v>
      </c>
      <c r="D21" s="622">
        <f t="shared" si="10"/>
        <v>3288</v>
      </c>
      <c r="E21" s="622">
        <f t="shared" si="11"/>
        <v>163</v>
      </c>
      <c r="F21" s="622">
        <f t="shared" si="12"/>
        <v>0</v>
      </c>
      <c r="G21" s="621">
        <f t="shared" si="13"/>
        <v>0</v>
      </c>
      <c r="H21" s="621"/>
      <c r="I21" s="621"/>
      <c r="J21" s="621">
        <f t="shared" si="14"/>
        <v>0</v>
      </c>
      <c r="K21" s="621"/>
      <c r="L21" s="621"/>
      <c r="M21" s="621">
        <f t="shared" si="15"/>
        <v>0</v>
      </c>
      <c r="N21" s="621">
        <f t="shared" si="16"/>
        <v>0</v>
      </c>
      <c r="O21" s="621"/>
      <c r="P21" s="621"/>
      <c r="Q21" s="621">
        <f t="shared" si="17"/>
        <v>0</v>
      </c>
      <c r="R21" s="621"/>
      <c r="S21" s="621"/>
      <c r="T21" s="621">
        <f t="shared" si="18"/>
        <v>0</v>
      </c>
      <c r="U21" s="621"/>
      <c r="V21" s="621"/>
      <c r="W21" s="621">
        <f t="shared" si="19"/>
        <v>0</v>
      </c>
      <c r="X21" s="621">
        <f t="shared" si="20"/>
        <v>0</v>
      </c>
      <c r="Y21" s="621"/>
      <c r="Z21" s="621"/>
      <c r="AA21" s="621">
        <f t="shared" si="21"/>
        <v>0</v>
      </c>
      <c r="AB21" s="621"/>
      <c r="AC21" s="621"/>
      <c r="AD21" s="621">
        <f t="shared" si="22"/>
        <v>0</v>
      </c>
      <c r="AE21" s="621"/>
      <c r="AF21" s="621"/>
      <c r="AG21" s="621">
        <f t="shared" si="23"/>
        <v>0</v>
      </c>
      <c r="AH21" s="621"/>
      <c r="AI21" s="621"/>
      <c r="AJ21" s="621">
        <f t="shared" si="24"/>
        <v>0</v>
      </c>
      <c r="AK21" s="621"/>
      <c r="AL21" s="621"/>
      <c r="AM21" s="621">
        <f t="shared" si="25"/>
        <v>0</v>
      </c>
      <c r="AN21" s="621"/>
      <c r="AO21" s="621"/>
      <c r="AP21" s="621">
        <f t="shared" si="26"/>
        <v>3426</v>
      </c>
      <c r="AQ21" s="621">
        <f>'B13-DA8'!E11</f>
        <v>3264</v>
      </c>
      <c r="AR21" s="621">
        <f>'B13-DA8'!E13</f>
        <v>162</v>
      </c>
      <c r="AS21" s="621">
        <f t="shared" si="27"/>
        <v>0</v>
      </c>
      <c r="AT21" s="621"/>
      <c r="AU21" s="621"/>
      <c r="AV21" s="621">
        <f t="shared" si="28"/>
        <v>25</v>
      </c>
      <c r="AW21" s="621">
        <f t="shared" si="29"/>
        <v>0</v>
      </c>
      <c r="AX21" s="621"/>
      <c r="AY21" s="621"/>
      <c r="AZ21" s="621">
        <f t="shared" si="30"/>
        <v>0</v>
      </c>
      <c r="BA21" s="621"/>
      <c r="BB21" s="621"/>
      <c r="BC21" s="621">
        <f t="shared" si="31"/>
        <v>25</v>
      </c>
      <c r="BD21" s="621">
        <f>'B17-TDA3,DA10'!D84</f>
        <v>24</v>
      </c>
      <c r="BE21" s="621">
        <f>'B17-TDA3,DA10'!E84</f>
        <v>1</v>
      </c>
      <c r="BF21" s="317" t="e">
        <f>Y21+#REF!+AE21+AH21</f>
        <v>#REF!</v>
      </c>
      <c r="BG21" s="317" t="e">
        <f>Z21+#REF!+AF21+AI21</f>
        <v>#REF!</v>
      </c>
      <c r="BH21" s="317">
        <f t="shared" si="5"/>
        <v>0</v>
      </c>
      <c r="BI21" s="317">
        <f t="shared" si="6"/>
        <v>0</v>
      </c>
      <c r="BJ21" s="320" t="e">
        <f>AK21+AX21+#REF!</f>
        <v>#REF!</v>
      </c>
      <c r="BK21" s="320" t="e">
        <f>AL21+AY21+#REF!</f>
        <v>#REF!</v>
      </c>
      <c r="BL21" s="320" t="e">
        <f>#REF!+O21+#REF!+BD21+U21+#REF!</f>
        <v>#REF!</v>
      </c>
      <c r="BM21" s="320" t="e">
        <f>#REF!+P21+#REF!+BE21+V21+#REF!</f>
        <v>#REF!</v>
      </c>
      <c r="BN21" s="320">
        <f t="shared" si="7"/>
        <v>3264</v>
      </c>
      <c r="BO21" s="320">
        <f t="shared" si="8"/>
        <v>162</v>
      </c>
      <c r="BQ21" s="317" t="e">
        <f>#REF!+P21+V21+#REF!+#REF!+BE21</f>
        <v>#REF!</v>
      </c>
      <c r="BR21" s="317">
        <f t="shared" si="2"/>
        <v>162</v>
      </c>
    </row>
    <row r="22" spans="1:70" ht="22.5" customHeight="1" x14ac:dyDescent="0.25">
      <c r="A22" s="318">
        <v>10</v>
      </c>
      <c r="B22" s="719" t="s">
        <v>185</v>
      </c>
      <c r="C22" s="621">
        <f t="shared" si="9"/>
        <v>25</v>
      </c>
      <c r="D22" s="622">
        <f t="shared" si="10"/>
        <v>24</v>
      </c>
      <c r="E22" s="622">
        <f t="shared" si="11"/>
        <v>1</v>
      </c>
      <c r="F22" s="622">
        <f t="shared" si="12"/>
        <v>0</v>
      </c>
      <c r="G22" s="621">
        <f t="shared" si="13"/>
        <v>0</v>
      </c>
      <c r="H22" s="621"/>
      <c r="I22" s="621"/>
      <c r="J22" s="621">
        <f t="shared" si="14"/>
        <v>0</v>
      </c>
      <c r="K22" s="621"/>
      <c r="L22" s="621"/>
      <c r="M22" s="621">
        <f t="shared" si="15"/>
        <v>0</v>
      </c>
      <c r="N22" s="621">
        <f t="shared" si="16"/>
        <v>0</v>
      </c>
      <c r="O22" s="621"/>
      <c r="P22" s="621"/>
      <c r="Q22" s="621">
        <f t="shared" si="17"/>
        <v>0</v>
      </c>
      <c r="R22" s="621"/>
      <c r="S22" s="621"/>
      <c r="T22" s="621">
        <f t="shared" si="18"/>
        <v>0</v>
      </c>
      <c r="U22" s="621"/>
      <c r="V22" s="621"/>
      <c r="W22" s="621">
        <f t="shared" si="19"/>
        <v>0</v>
      </c>
      <c r="X22" s="621">
        <f t="shared" si="20"/>
        <v>0</v>
      </c>
      <c r="Y22" s="621"/>
      <c r="Z22" s="621"/>
      <c r="AA22" s="621">
        <f t="shared" si="21"/>
        <v>0</v>
      </c>
      <c r="AB22" s="621"/>
      <c r="AC22" s="621"/>
      <c r="AD22" s="621">
        <f t="shared" si="22"/>
        <v>0</v>
      </c>
      <c r="AE22" s="621"/>
      <c r="AF22" s="621"/>
      <c r="AG22" s="621">
        <f t="shared" si="23"/>
        <v>0</v>
      </c>
      <c r="AH22" s="621"/>
      <c r="AI22" s="621"/>
      <c r="AJ22" s="621">
        <f t="shared" si="24"/>
        <v>0</v>
      </c>
      <c r="AK22" s="621"/>
      <c r="AL22" s="621"/>
      <c r="AM22" s="621">
        <f t="shared" si="25"/>
        <v>0</v>
      </c>
      <c r="AN22" s="621"/>
      <c r="AO22" s="621"/>
      <c r="AP22" s="621">
        <f t="shared" si="26"/>
        <v>0</v>
      </c>
      <c r="AQ22" s="621"/>
      <c r="AR22" s="621"/>
      <c r="AS22" s="621">
        <f t="shared" si="27"/>
        <v>0</v>
      </c>
      <c r="AT22" s="621"/>
      <c r="AU22" s="621"/>
      <c r="AV22" s="621">
        <f t="shared" si="28"/>
        <v>25</v>
      </c>
      <c r="AW22" s="621">
        <f t="shared" si="29"/>
        <v>0</v>
      </c>
      <c r="AX22" s="621"/>
      <c r="AY22" s="621"/>
      <c r="AZ22" s="621">
        <f t="shared" si="30"/>
        <v>0</v>
      </c>
      <c r="BA22" s="621"/>
      <c r="BB22" s="621"/>
      <c r="BC22" s="621">
        <f t="shared" si="31"/>
        <v>25</v>
      </c>
      <c r="BD22" s="621">
        <f>'B17-TDA3,DA10'!D85</f>
        <v>24</v>
      </c>
      <c r="BE22" s="621">
        <f>'B17-TDA3,DA10'!E85</f>
        <v>1</v>
      </c>
      <c r="BF22" s="317" t="e">
        <f>Y22+#REF!+AE22+AH22</f>
        <v>#REF!</v>
      </c>
      <c r="BG22" s="317" t="e">
        <f>Z22+#REF!+AF22+AI22</f>
        <v>#REF!</v>
      </c>
      <c r="BH22" s="317">
        <f t="shared" si="5"/>
        <v>0</v>
      </c>
      <c r="BI22" s="317">
        <f t="shared" si="6"/>
        <v>0</v>
      </c>
      <c r="BJ22" s="320" t="e">
        <f>AK22+AX22+#REF!</f>
        <v>#REF!</v>
      </c>
      <c r="BK22" s="320" t="e">
        <f>AL22+AY22+#REF!</f>
        <v>#REF!</v>
      </c>
      <c r="BL22" s="320" t="e">
        <f>#REF!+O22+#REF!+BD22+U22+#REF!</f>
        <v>#REF!</v>
      </c>
      <c r="BM22" s="320" t="e">
        <f>#REF!+P22+#REF!+BE22+V22+#REF!</f>
        <v>#REF!</v>
      </c>
      <c r="BN22" s="320">
        <f t="shared" si="7"/>
        <v>0</v>
      </c>
      <c r="BO22" s="320">
        <f t="shared" si="8"/>
        <v>0</v>
      </c>
      <c r="BQ22" s="317" t="e">
        <f>#REF!+P22+V22+#REF!+#REF!+BE22</f>
        <v>#REF!</v>
      </c>
      <c r="BR22" s="317">
        <f t="shared" si="2"/>
        <v>0</v>
      </c>
    </row>
    <row r="23" spans="1:70" ht="22.5" customHeight="1" x14ac:dyDescent="0.25">
      <c r="A23" s="318">
        <v>11</v>
      </c>
      <c r="B23" s="719" t="s">
        <v>186</v>
      </c>
      <c r="C23" s="621">
        <f t="shared" si="9"/>
        <v>248</v>
      </c>
      <c r="D23" s="622">
        <f t="shared" si="10"/>
        <v>235</v>
      </c>
      <c r="E23" s="622">
        <f t="shared" si="11"/>
        <v>13</v>
      </c>
      <c r="F23" s="622">
        <f t="shared" si="12"/>
        <v>0</v>
      </c>
      <c r="G23" s="621">
        <f t="shared" si="13"/>
        <v>0</v>
      </c>
      <c r="H23" s="621"/>
      <c r="I23" s="621"/>
      <c r="J23" s="621">
        <f t="shared" si="14"/>
        <v>0</v>
      </c>
      <c r="K23" s="621"/>
      <c r="L23" s="621"/>
      <c r="M23" s="621">
        <f t="shared" si="15"/>
        <v>0</v>
      </c>
      <c r="N23" s="621">
        <f t="shared" si="16"/>
        <v>0</v>
      </c>
      <c r="O23" s="621"/>
      <c r="P23" s="621"/>
      <c r="Q23" s="621">
        <f t="shared" si="17"/>
        <v>0</v>
      </c>
      <c r="R23" s="621"/>
      <c r="S23" s="621"/>
      <c r="T23" s="621">
        <f t="shared" si="18"/>
        <v>0</v>
      </c>
      <c r="U23" s="621"/>
      <c r="V23" s="621"/>
      <c r="W23" s="621">
        <f t="shared" si="19"/>
        <v>0</v>
      </c>
      <c r="X23" s="621">
        <f t="shared" si="20"/>
        <v>0</v>
      </c>
      <c r="Y23" s="621"/>
      <c r="Z23" s="621"/>
      <c r="AA23" s="621">
        <f t="shared" si="21"/>
        <v>0</v>
      </c>
      <c r="AB23" s="621"/>
      <c r="AC23" s="621"/>
      <c r="AD23" s="621">
        <f t="shared" si="22"/>
        <v>0</v>
      </c>
      <c r="AE23" s="621"/>
      <c r="AF23" s="621"/>
      <c r="AG23" s="621">
        <f t="shared" si="23"/>
        <v>0</v>
      </c>
      <c r="AH23" s="621"/>
      <c r="AI23" s="621"/>
      <c r="AJ23" s="621">
        <f t="shared" si="24"/>
        <v>0</v>
      </c>
      <c r="AK23" s="621"/>
      <c r="AL23" s="621"/>
      <c r="AM23" s="621">
        <f t="shared" si="25"/>
        <v>0</v>
      </c>
      <c r="AN23" s="621"/>
      <c r="AO23" s="621"/>
      <c r="AP23" s="621">
        <f t="shared" si="26"/>
        <v>0</v>
      </c>
      <c r="AQ23" s="621"/>
      <c r="AR23" s="621"/>
      <c r="AS23" s="621">
        <f t="shared" si="27"/>
        <v>0</v>
      </c>
      <c r="AT23" s="621"/>
      <c r="AU23" s="621"/>
      <c r="AV23" s="621">
        <f t="shared" si="28"/>
        <v>248</v>
      </c>
      <c r="AW23" s="621">
        <f t="shared" si="29"/>
        <v>0</v>
      </c>
      <c r="AX23" s="621"/>
      <c r="AY23" s="621"/>
      <c r="AZ23" s="621">
        <f t="shared" si="30"/>
        <v>0</v>
      </c>
      <c r="BA23" s="621"/>
      <c r="BB23" s="621"/>
      <c r="BC23" s="621">
        <f t="shared" si="31"/>
        <v>248</v>
      </c>
      <c r="BD23" s="621">
        <f>'B17-TDA3,DA10'!D86</f>
        <v>235</v>
      </c>
      <c r="BE23" s="621">
        <f>'B17-TDA3,DA10'!E86</f>
        <v>13</v>
      </c>
      <c r="BF23" s="317" t="e">
        <f>Y23+#REF!+AE23+AH23</f>
        <v>#REF!</v>
      </c>
      <c r="BG23" s="317" t="e">
        <f>Z23+#REF!+AF23+AI23</f>
        <v>#REF!</v>
      </c>
      <c r="BH23" s="317">
        <f t="shared" si="5"/>
        <v>0</v>
      </c>
      <c r="BI23" s="317">
        <f t="shared" si="6"/>
        <v>0</v>
      </c>
      <c r="BJ23" s="320" t="e">
        <f>AK23+AX23+#REF!</f>
        <v>#REF!</v>
      </c>
      <c r="BK23" s="320" t="e">
        <f>AL23+AY23+#REF!</f>
        <v>#REF!</v>
      </c>
      <c r="BL23" s="320" t="e">
        <f>#REF!+O23+#REF!+BD23+U23+#REF!</f>
        <v>#REF!</v>
      </c>
      <c r="BM23" s="320" t="e">
        <f>#REF!+P23+#REF!+BE23+V23+#REF!</f>
        <v>#REF!</v>
      </c>
      <c r="BN23" s="320">
        <f t="shared" si="7"/>
        <v>0</v>
      </c>
      <c r="BO23" s="320">
        <f t="shared" si="8"/>
        <v>0</v>
      </c>
      <c r="BQ23" s="317" t="e">
        <f>#REF!+P23+V23+#REF!+#REF!+BE23</f>
        <v>#REF!</v>
      </c>
      <c r="BR23" s="317">
        <f t="shared" si="2"/>
        <v>0</v>
      </c>
    </row>
    <row r="24" spans="1:70" ht="22.5" customHeight="1" x14ac:dyDescent="0.25">
      <c r="A24" s="318">
        <v>12</v>
      </c>
      <c r="B24" s="719" t="s">
        <v>187</v>
      </c>
      <c r="C24" s="621">
        <f t="shared" si="9"/>
        <v>25</v>
      </c>
      <c r="D24" s="622">
        <f t="shared" si="10"/>
        <v>24</v>
      </c>
      <c r="E24" s="622">
        <f t="shared" si="11"/>
        <v>1</v>
      </c>
      <c r="F24" s="622">
        <f t="shared" si="12"/>
        <v>0</v>
      </c>
      <c r="G24" s="621">
        <f t="shared" si="13"/>
        <v>0</v>
      </c>
      <c r="H24" s="621"/>
      <c r="I24" s="621"/>
      <c r="J24" s="621">
        <f t="shared" si="14"/>
        <v>0</v>
      </c>
      <c r="K24" s="621"/>
      <c r="L24" s="621"/>
      <c r="M24" s="621">
        <f t="shared" si="15"/>
        <v>0</v>
      </c>
      <c r="N24" s="621">
        <f t="shared" si="16"/>
        <v>0</v>
      </c>
      <c r="O24" s="621"/>
      <c r="P24" s="621"/>
      <c r="Q24" s="621">
        <f t="shared" si="17"/>
        <v>0</v>
      </c>
      <c r="R24" s="621"/>
      <c r="S24" s="621"/>
      <c r="T24" s="621">
        <f t="shared" si="18"/>
        <v>0</v>
      </c>
      <c r="U24" s="621"/>
      <c r="V24" s="621"/>
      <c r="W24" s="621">
        <f t="shared" si="19"/>
        <v>0</v>
      </c>
      <c r="X24" s="621">
        <f t="shared" si="20"/>
        <v>0</v>
      </c>
      <c r="Y24" s="621"/>
      <c r="Z24" s="621"/>
      <c r="AA24" s="621">
        <f t="shared" si="21"/>
        <v>0</v>
      </c>
      <c r="AB24" s="621"/>
      <c r="AC24" s="621"/>
      <c r="AD24" s="621">
        <f t="shared" si="22"/>
        <v>0</v>
      </c>
      <c r="AE24" s="621"/>
      <c r="AF24" s="621"/>
      <c r="AG24" s="621">
        <f t="shared" si="23"/>
        <v>0</v>
      </c>
      <c r="AH24" s="621"/>
      <c r="AI24" s="621"/>
      <c r="AJ24" s="621">
        <f t="shared" si="24"/>
        <v>0</v>
      </c>
      <c r="AK24" s="621"/>
      <c r="AL24" s="621"/>
      <c r="AM24" s="621">
        <f t="shared" si="25"/>
        <v>0</v>
      </c>
      <c r="AN24" s="621"/>
      <c r="AO24" s="621"/>
      <c r="AP24" s="621">
        <f t="shared" si="26"/>
        <v>0</v>
      </c>
      <c r="AQ24" s="621"/>
      <c r="AR24" s="621"/>
      <c r="AS24" s="621">
        <f t="shared" si="27"/>
        <v>0</v>
      </c>
      <c r="AT24" s="621"/>
      <c r="AU24" s="621"/>
      <c r="AV24" s="621">
        <f t="shared" si="28"/>
        <v>25</v>
      </c>
      <c r="AW24" s="621">
        <f t="shared" si="29"/>
        <v>0</v>
      </c>
      <c r="AX24" s="621"/>
      <c r="AY24" s="621"/>
      <c r="AZ24" s="621">
        <f t="shared" si="30"/>
        <v>0</v>
      </c>
      <c r="BA24" s="621"/>
      <c r="BB24" s="621"/>
      <c r="BC24" s="621">
        <f t="shared" si="31"/>
        <v>25</v>
      </c>
      <c r="BD24" s="621">
        <f>'B17-TDA3,DA10'!D87</f>
        <v>24</v>
      </c>
      <c r="BE24" s="621">
        <f>'B17-TDA3,DA10'!E87</f>
        <v>1</v>
      </c>
      <c r="BF24" s="317" t="e">
        <f>Y24+#REF!+AE24+AH24</f>
        <v>#REF!</v>
      </c>
      <c r="BG24" s="317" t="e">
        <f>Z24+#REF!+AF24+AI24</f>
        <v>#REF!</v>
      </c>
      <c r="BH24" s="317">
        <f t="shared" si="5"/>
        <v>0</v>
      </c>
      <c r="BI24" s="317">
        <f t="shared" si="6"/>
        <v>0</v>
      </c>
      <c r="BJ24" s="320" t="e">
        <f>AK24+AX24+#REF!</f>
        <v>#REF!</v>
      </c>
      <c r="BK24" s="320" t="e">
        <f>AL24+AY24+#REF!</f>
        <v>#REF!</v>
      </c>
      <c r="BL24" s="320" t="e">
        <f>#REF!+O24+#REF!+BD24+U24+#REF!</f>
        <v>#REF!</v>
      </c>
      <c r="BM24" s="320" t="e">
        <f>#REF!+P24+#REF!+BE24+V24+#REF!</f>
        <v>#REF!</v>
      </c>
      <c r="BN24" s="320">
        <f t="shared" si="7"/>
        <v>0</v>
      </c>
      <c r="BO24" s="320">
        <f t="shared" si="8"/>
        <v>0</v>
      </c>
      <c r="BQ24" s="317" t="e">
        <f>#REF!+P24+V24+#REF!+#REF!+BE24</f>
        <v>#REF!</v>
      </c>
      <c r="BR24" s="317">
        <f t="shared" si="2"/>
        <v>0</v>
      </c>
    </row>
    <row r="25" spans="1:70" ht="22.5" customHeight="1" x14ac:dyDescent="0.25">
      <c r="A25" s="318">
        <v>13</v>
      </c>
      <c r="B25" s="719" t="s">
        <v>606</v>
      </c>
      <c r="C25" s="621">
        <f t="shared" si="9"/>
        <v>25</v>
      </c>
      <c r="D25" s="622">
        <f t="shared" si="10"/>
        <v>24</v>
      </c>
      <c r="E25" s="622">
        <f t="shared" si="11"/>
        <v>1</v>
      </c>
      <c r="F25" s="622">
        <f t="shared" si="12"/>
        <v>0</v>
      </c>
      <c r="G25" s="621">
        <f t="shared" si="13"/>
        <v>0</v>
      </c>
      <c r="H25" s="621"/>
      <c r="I25" s="621"/>
      <c r="J25" s="621">
        <f t="shared" si="14"/>
        <v>0</v>
      </c>
      <c r="K25" s="621"/>
      <c r="L25" s="621"/>
      <c r="M25" s="621">
        <f t="shared" si="15"/>
        <v>0</v>
      </c>
      <c r="N25" s="621">
        <f t="shared" si="16"/>
        <v>0</v>
      </c>
      <c r="O25" s="621"/>
      <c r="P25" s="621"/>
      <c r="Q25" s="621">
        <f t="shared" si="17"/>
        <v>0</v>
      </c>
      <c r="R25" s="621"/>
      <c r="S25" s="621"/>
      <c r="T25" s="621">
        <f t="shared" si="18"/>
        <v>0</v>
      </c>
      <c r="U25" s="621"/>
      <c r="V25" s="621"/>
      <c r="W25" s="621">
        <f t="shared" si="19"/>
        <v>0</v>
      </c>
      <c r="X25" s="621">
        <f t="shared" si="20"/>
        <v>0</v>
      </c>
      <c r="Y25" s="621"/>
      <c r="Z25" s="621"/>
      <c r="AA25" s="621">
        <f t="shared" si="21"/>
        <v>0</v>
      </c>
      <c r="AB25" s="621"/>
      <c r="AC25" s="621"/>
      <c r="AD25" s="621">
        <f t="shared" si="22"/>
        <v>0</v>
      </c>
      <c r="AE25" s="621"/>
      <c r="AF25" s="621"/>
      <c r="AG25" s="621">
        <f t="shared" si="23"/>
        <v>0</v>
      </c>
      <c r="AH25" s="621"/>
      <c r="AI25" s="621"/>
      <c r="AJ25" s="621">
        <f t="shared" si="24"/>
        <v>0</v>
      </c>
      <c r="AK25" s="621"/>
      <c r="AL25" s="621"/>
      <c r="AM25" s="621">
        <f t="shared" si="25"/>
        <v>0</v>
      </c>
      <c r="AN25" s="621"/>
      <c r="AO25" s="621"/>
      <c r="AP25" s="621">
        <f t="shared" si="26"/>
        <v>0</v>
      </c>
      <c r="AQ25" s="621"/>
      <c r="AR25" s="621"/>
      <c r="AS25" s="621">
        <f t="shared" si="27"/>
        <v>0</v>
      </c>
      <c r="AT25" s="621"/>
      <c r="AU25" s="621"/>
      <c r="AV25" s="621">
        <f t="shared" si="28"/>
        <v>25</v>
      </c>
      <c r="AW25" s="621">
        <f t="shared" si="29"/>
        <v>0</v>
      </c>
      <c r="AX25" s="621"/>
      <c r="AY25" s="621"/>
      <c r="AZ25" s="621">
        <f t="shared" si="30"/>
        <v>0</v>
      </c>
      <c r="BA25" s="621"/>
      <c r="BB25" s="621"/>
      <c r="BC25" s="621">
        <f t="shared" si="31"/>
        <v>25</v>
      </c>
      <c r="BD25" s="621">
        <f>'B17-TDA3,DA10'!D88</f>
        <v>24</v>
      </c>
      <c r="BE25" s="621">
        <f>'B17-TDA3,DA10'!E88</f>
        <v>1</v>
      </c>
      <c r="BF25" s="317" t="e">
        <f>Y25+#REF!+AE25+AH25</f>
        <v>#REF!</v>
      </c>
      <c r="BG25" s="317" t="e">
        <f>Z25+#REF!+AF25+AI25</f>
        <v>#REF!</v>
      </c>
      <c r="BH25" s="317">
        <f t="shared" si="5"/>
        <v>0</v>
      </c>
      <c r="BI25" s="317">
        <f t="shared" si="6"/>
        <v>0</v>
      </c>
      <c r="BJ25" s="320" t="e">
        <f>AK25+AX25+#REF!</f>
        <v>#REF!</v>
      </c>
      <c r="BK25" s="320" t="e">
        <f>AL25+AY25+#REF!</f>
        <v>#REF!</v>
      </c>
      <c r="BL25" s="320" t="e">
        <f>#REF!+O25+#REF!+BD25+U25+#REF!</f>
        <v>#REF!</v>
      </c>
      <c r="BM25" s="320" t="e">
        <f>#REF!+P25+#REF!+BE25+V25+#REF!</f>
        <v>#REF!</v>
      </c>
      <c r="BN25" s="320">
        <f t="shared" si="7"/>
        <v>0</v>
      </c>
      <c r="BO25" s="320">
        <f t="shared" si="8"/>
        <v>0</v>
      </c>
      <c r="BQ25" s="317" t="e">
        <f>#REF!+P25+V25+#REF!+#REF!+BE25</f>
        <v>#REF!</v>
      </c>
      <c r="BR25" s="317">
        <f t="shared" si="2"/>
        <v>0</v>
      </c>
    </row>
    <row r="26" spans="1:70" ht="22.5" customHeight="1" x14ac:dyDescent="0.25">
      <c r="A26" s="318">
        <v>14</v>
      </c>
      <c r="B26" s="719" t="s">
        <v>605</v>
      </c>
      <c r="C26" s="621">
        <f t="shared" si="9"/>
        <v>25</v>
      </c>
      <c r="D26" s="622">
        <f t="shared" si="10"/>
        <v>24</v>
      </c>
      <c r="E26" s="622">
        <f t="shared" si="11"/>
        <v>1</v>
      </c>
      <c r="F26" s="622">
        <f t="shared" si="12"/>
        <v>0</v>
      </c>
      <c r="G26" s="621">
        <f t="shared" si="13"/>
        <v>0</v>
      </c>
      <c r="H26" s="621"/>
      <c r="I26" s="621"/>
      <c r="J26" s="621">
        <f t="shared" si="14"/>
        <v>0</v>
      </c>
      <c r="K26" s="621"/>
      <c r="L26" s="621"/>
      <c r="M26" s="621">
        <f t="shared" si="15"/>
        <v>0</v>
      </c>
      <c r="N26" s="621">
        <f t="shared" si="16"/>
        <v>0</v>
      </c>
      <c r="O26" s="621"/>
      <c r="P26" s="621"/>
      <c r="Q26" s="621">
        <f t="shared" si="17"/>
        <v>0</v>
      </c>
      <c r="R26" s="621"/>
      <c r="S26" s="621"/>
      <c r="T26" s="621">
        <f t="shared" si="18"/>
        <v>0</v>
      </c>
      <c r="U26" s="621"/>
      <c r="V26" s="621"/>
      <c r="W26" s="621">
        <f t="shared" si="19"/>
        <v>0</v>
      </c>
      <c r="X26" s="621">
        <f t="shared" si="20"/>
        <v>0</v>
      </c>
      <c r="Y26" s="621"/>
      <c r="Z26" s="621"/>
      <c r="AA26" s="621">
        <f t="shared" si="21"/>
        <v>0</v>
      </c>
      <c r="AB26" s="621"/>
      <c r="AC26" s="621"/>
      <c r="AD26" s="621">
        <f t="shared" si="22"/>
        <v>0</v>
      </c>
      <c r="AE26" s="621"/>
      <c r="AF26" s="621"/>
      <c r="AG26" s="621">
        <f t="shared" si="23"/>
        <v>0</v>
      </c>
      <c r="AH26" s="621"/>
      <c r="AI26" s="621"/>
      <c r="AJ26" s="621">
        <f t="shared" si="24"/>
        <v>0</v>
      </c>
      <c r="AK26" s="621"/>
      <c r="AL26" s="621"/>
      <c r="AM26" s="621">
        <f t="shared" si="25"/>
        <v>0</v>
      </c>
      <c r="AN26" s="621"/>
      <c r="AO26" s="621"/>
      <c r="AP26" s="621">
        <f t="shared" si="26"/>
        <v>0</v>
      </c>
      <c r="AQ26" s="621"/>
      <c r="AR26" s="621"/>
      <c r="AS26" s="621">
        <f t="shared" si="27"/>
        <v>0</v>
      </c>
      <c r="AT26" s="621"/>
      <c r="AU26" s="621"/>
      <c r="AV26" s="621">
        <f t="shared" si="28"/>
        <v>25</v>
      </c>
      <c r="AW26" s="621">
        <f t="shared" si="29"/>
        <v>0</v>
      </c>
      <c r="AX26" s="621"/>
      <c r="AY26" s="621"/>
      <c r="AZ26" s="621">
        <f t="shared" si="30"/>
        <v>0</v>
      </c>
      <c r="BA26" s="621"/>
      <c r="BB26" s="621"/>
      <c r="BC26" s="621">
        <f t="shared" si="31"/>
        <v>25</v>
      </c>
      <c r="BD26" s="621">
        <f>'B17-TDA3,DA10'!D89</f>
        <v>24</v>
      </c>
      <c r="BE26" s="621">
        <f>'B17-TDA3,DA10'!E89</f>
        <v>1</v>
      </c>
      <c r="BF26" s="317" t="e">
        <f>Y26+#REF!+AE26+AH26</f>
        <v>#REF!</v>
      </c>
      <c r="BG26" s="317" t="e">
        <f>Z26+#REF!+AF26+AI26</f>
        <v>#REF!</v>
      </c>
      <c r="BH26" s="317">
        <f t="shared" si="5"/>
        <v>0</v>
      </c>
      <c r="BI26" s="317">
        <f t="shared" si="6"/>
        <v>0</v>
      </c>
      <c r="BJ26" s="320" t="e">
        <f>AK26+AX26+#REF!</f>
        <v>#REF!</v>
      </c>
      <c r="BK26" s="320" t="e">
        <f>AL26+AY26+#REF!</f>
        <v>#REF!</v>
      </c>
      <c r="BL26" s="320" t="e">
        <f>#REF!+O26+#REF!+BD26+U26+#REF!</f>
        <v>#REF!</v>
      </c>
      <c r="BM26" s="320" t="e">
        <f>#REF!+P26+#REF!+BE26+V26+#REF!</f>
        <v>#REF!</v>
      </c>
      <c r="BN26" s="320">
        <f t="shared" si="7"/>
        <v>0</v>
      </c>
      <c r="BO26" s="320">
        <f t="shared" si="8"/>
        <v>0</v>
      </c>
      <c r="BQ26" s="317" t="e">
        <f>#REF!+P26+V26+#REF!+#REF!+BE26</f>
        <v>#REF!</v>
      </c>
      <c r="BR26" s="317">
        <f t="shared" si="2"/>
        <v>0</v>
      </c>
    </row>
    <row r="27" spans="1:70" ht="22.5" customHeight="1" x14ac:dyDescent="0.25">
      <c r="A27" s="318">
        <v>15</v>
      </c>
      <c r="B27" s="719" t="s">
        <v>189</v>
      </c>
      <c r="C27" s="621">
        <f t="shared" si="9"/>
        <v>25</v>
      </c>
      <c r="D27" s="622">
        <f t="shared" si="10"/>
        <v>24</v>
      </c>
      <c r="E27" s="622">
        <f t="shared" si="11"/>
        <v>1</v>
      </c>
      <c r="F27" s="622">
        <f t="shared" si="12"/>
        <v>0</v>
      </c>
      <c r="G27" s="621">
        <f t="shared" si="13"/>
        <v>0</v>
      </c>
      <c r="H27" s="621"/>
      <c r="I27" s="621"/>
      <c r="J27" s="621">
        <f t="shared" si="14"/>
        <v>0</v>
      </c>
      <c r="K27" s="621"/>
      <c r="L27" s="621"/>
      <c r="M27" s="621">
        <f t="shared" si="15"/>
        <v>0</v>
      </c>
      <c r="N27" s="621">
        <f t="shared" si="16"/>
        <v>0</v>
      </c>
      <c r="O27" s="621"/>
      <c r="P27" s="621"/>
      <c r="Q27" s="621">
        <f t="shared" si="17"/>
        <v>0</v>
      </c>
      <c r="R27" s="621"/>
      <c r="S27" s="621"/>
      <c r="T27" s="621">
        <f t="shared" si="18"/>
        <v>0</v>
      </c>
      <c r="U27" s="621"/>
      <c r="V27" s="621"/>
      <c r="W27" s="621">
        <f t="shared" si="19"/>
        <v>0</v>
      </c>
      <c r="X27" s="621">
        <f t="shared" si="20"/>
        <v>0</v>
      </c>
      <c r="Y27" s="621"/>
      <c r="Z27" s="621"/>
      <c r="AA27" s="621">
        <f t="shared" si="21"/>
        <v>0</v>
      </c>
      <c r="AB27" s="621"/>
      <c r="AC27" s="621"/>
      <c r="AD27" s="621">
        <f t="shared" si="22"/>
        <v>0</v>
      </c>
      <c r="AE27" s="621"/>
      <c r="AF27" s="621"/>
      <c r="AG27" s="621">
        <f t="shared" si="23"/>
        <v>0</v>
      </c>
      <c r="AH27" s="621"/>
      <c r="AI27" s="621"/>
      <c r="AJ27" s="621">
        <f t="shared" si="24"/>
        <v>0</v>
      </c>
      <c r="AK27" s="621"/>
      <c r="AL27" s="621"/>
      <c r="AM27" s="621">
        <f t="shared" si="25"/>
        <v>0</v>
      </c>
      <c r="AN27" s="621"/>
      <c r="AO27" s="621"/>
      <c r="AP27" s="621">
        <f t="shared" si="26"/>
        <v>0</v>
      </c>
      <c r="AQ27" s="621"/>
      <c r="AR27" s="621"/>
      <c r="AS27" s="621">
        <f t="shared" si="27"/>
        <v>0</v>
      </c>
      <c r="AT27" s="621"/>
      <c r="AU27" s="621"/>
      <c r="AV27" s="621">
        <f t="shared" si="28"/>
        <v>25</v>
      </c>
      <c r="AW27" s="621">
        <f t="shared" si="29"/>
        <v>0</v>
      </c>
      <c r="AX27" s="621"/>
      <c r="AY27" s="621"/>
      <c r="AZ27" s="621">
        <f t="shared" si="30"/>
        <v>0</v>
      </c>
      <c r="BA27" s="621"/>
      <c r="BB27" s="621"/>
      <c r="BC27" s="621">
        <f t="shared" si="31"/>
        <v>25</v>
      </c>
      <c r="BD27" s="621">
        <f>'B17-TDA3,DA10'!D90</f>
        <v>24</v>
      </c>
      <c r="BE27" s="621">
        <f>'B17-TDA3,DA10'!E90</f>
        <v>1</v>
      </c>
      <c r="BF27" s="317" t="e">
        <f>Y27+#REF!+AE27+AH27</f>
        <v>#REF!</v>
      </c>
      <c r="BG27" s="317" t="e">
        <f>Z27+#REF!+AF27+AI27</f>
        <v>#REF!</v>
      </c>
      <c r="BH27" s="317">
        <f t="shared" si="5"/>
        <v>0</v>
      </c>
      <c r="BI27" s="317">
        <f t="shared" si="6"/>
        <v>0</v>
      </c>
      <c r="BJ27" s="320" t="e">
        <f>AK27+AX27+#REF!</f>
        <v>#REF!</v>
      </c>
      <c r="BK27" s="320" t="e">
        <f>AL27+AY27+#REF!</f>
        <v>#REF!</v>
      </c>
      <c r="BL27" s="320" t="e">
        <f>#REF!+O27+#REF!+BD27+U27+#REF!</f>
        <v>#REF!</v>
      </c>
      <c r="BM27" s="320" t="e">
        <f>#REF!+P27+#REF!+BE27+V27+#REF!</f>
        <v>#REF!</v>
      </c>
      <c r="BN27" s="320">
        <f t="shared" si="7"/>
        <v>0</v>
      </c>
      <c r="BO27" s="320">
        <f t="shared" si="8"/>
        <v>0</v>
      </c>
      <c r="BQ27" s="317" t="e">
        <f>#REF!+P27+V27+#REF!+#REF!+BE27</f>
        <v>#REF!</v>
      </c>
      <c r="BR27" s="317">
        <f t="shared" si="2"/>
        <v>0</v>
      </c>
    </row>
    <row r="28" spans="1:70" ht="22.5" customHeight="1" x14ac:dyDescent="0.25">
      <c r="A28" s="318">
        <v>16</v>
      </c>
      <c r="B28" s="719" t="s">
        <v>190</v>
      </c>
      <c r="C28" s="621">
        <f t="shared" si="9"/>
        <v>25</v>
      </c>
      <c r="D28" s="622">
        <f t="shared" si="10"/>
        <v>24</v>
      </c>
      <c r="E28" s="622">
        <f t="shared" si="11"/>
        <v>1</v>
      </c>
      <c r="F28" s="622">
        <f t="shared" si="12"/>
        <v>0</v>
      </c>
      <c r="G28" s="621">
        <f t="shared" si="13"/>
        <v>0</v>
      </c>
      <c r="H28" s="621"/>
      <c r="I28" s="621"/>
      <c r="J28" s="621">
        <f t="shared" si="14"/>
        <v>0</v>
      </c>
      <c r="K28" s="621"/>
      <c r="L28" s="621"/>
      <c r="M28" s="621">
        <f t="shared" si="15"/>
        <v>0</v>
      </c>
      <c r="N28" s="621">
        <f t="shared" si="16"/>
        <v>0</v>
      </c>
      <c r="O28" s="621"/>
      <c r="P28" s="621"/>
      <c r="Q28" s="621">
        <f t="shared" si="17"/>
        <v>0</v>
      </c>
      <c r="R28" s="621"/>
      <c r="S28" s="621"/>
      <c r="T28" s="621">
        <f t="shared" si="18"/>
        <v>0</v>
      </c>
      <c r="U28" s="621"/>
      <c r="V28" s="621"/>
      <c r="W28" s="621">
        <f t="shared" si="19"/>
        <v>0</v>
      </c>
      <c r="X28" s="621">
        <f t="shared" si="20"/>
        <v>0</v>
      </c>
      <c r="Y28" s="621"/>
      <c r="Z28" s="621"/>
      <c r="AA28" s="621">
        <f t="shared" si="21"/>
        <v>0</v>
      </c>
      <c r="AB28" s="621"/>
      <c r="AC28" s="621"/>
      <c r="AD28" s="621">
        <f t="shared" si="22"/>
        <v>0</v>
      </c>
      <c r="AE28" s="621"/>
      <c r="AF28" s="621"/>
      <c r="AG28" s="621">
        <f t="shared" si="23"/>
        <v>0</v>
      </c>
      <c r="AH28" s="621"/>
      <c r="AI28" s="621"/>
      <c r="AJ28" s="621">
        <f t="shared" si="24"/>
        <v>0</v>
      </c>
      <c r="AK28" s="621"/>
      <c r="AL28" s="621"/>
      <c r="AM28" s="621">
        <f t="shared" si="25"/>
        <v>0</v>
      </c>
      <c r="AN28" s="621"/>
      <c r="AO28" s="621"/>
      <c r="AP28" s="621">
        <f t="shared" si="26"/>
        <v>0</v>
      </c>
      <c r="AQ28" s="621"/>
      <c r="AR28" s="621"/>
      <c r="AS28" s="621">
        <f t="shared" si="27"/>
        <v>0</v>
      </c>
      <c r="AT28" s="621"/>
      <c r="AU28" s="621"/>
      <c r="AV28" s="621">
        <f t="shared" si="28"/>
        <v>25</v>
      </c>
      <c r="AW28" s="621">
        <f t="shared" si="29"/>
        <v>0</v>
      </c>
      <c r="AX28" s="621"/>
      <c r="AY28" s="621"/>
      <c r="AZ28" s="621">
        <f t="shared" si="30"/>
        <v>0</v>
      </c>
      <c r="BA28" s="621"/>
      <c r="BB28" s="621"/>
      <c r="BC28" s="621">
        <f t="shared" si="31"/>
        <v>25</v>
      </c>
      <c r="BD28" s="621">
        <f>'B17-TDA3,DA10'!D91</f>
        <v>24</v>
      </c>
      <c r="BE28" s="621">
        <f>'B17-TDA3,DA10'!E91</f>
        <v>1</v>
      </c>
      <c r="BF28" s="317" t="e">
        <f>Y28+#REF!+AE28+AH28</f>
        <v>#REF!</v>
      </c>
      <c r="BG28" s="317" t="e">
        <f>Z28+#REF!+AF28+AI28</f>
        <v>#REF!</v>
      </c>
      <c r="BH28" s="317">
        <f t="shared" si="5"/>
        <v>0</v>
      </c>
      <c r="BI28" s="317">
        <f t="shared" si="6"/>
        <v>0</v>
      </c>
      <c r="BJ28" s="320" t="e">
        <f>AK28+AX28+#REF!</f>
        <v>#REF!</v>
      </c>
      <c r="BK28" s="320" t="e">
        <f>AL28+AY28+#REF!</f>
        <v>#REF!</v>
      </c>
      <c r="BL28" s="320" t="e">
        <f>#REF!+O28+#REF!+BD28+U28+#REF!</f>
        <v>#REF!</v>
      </c>
      <c r="BM28" s="320" t="e">
        <f>#REF!+P28+#REF!+BE28+V28+#REF!</f>
        <v>#REF!</v>
      </c>
      <c r="BN28" s="320">
        <f t="shared" si="7"/>
        <v>0</v>
      </c>
      <c r="BO28" s="320">
        <f t="shared" si="8"/>
        <v>0</v>
      </c>
      <c r="BQ28" s="317" t="e">
        <f>#REF!+P28+V28+#REF!+#REF!+BE28</f>
        <v>#REF!</v>
      </c>
      <c r="BR28" s="317">
        <f t="shared" si="2"/>
        <v>0</v>
      </c>
    </row>
    <row r="29" spans="1:70" ht="22.5" customHeight="1" x14ac:dyDescent="0.25">
      <c r="A29" s="318">
        <v>17</v>
      </c>
      <c r="B29" s="719" t="s">
        <v>89</v>
      </c>
      <c r="C29" s="621">
        <f t="shared" si="9"/>
        <v>487</v>
      </c>
      <c r="D29" s="622">
        <f t="shared" si="10"/>
        <v>486</v>
      </c>
      <c r="E29" s="622">
        <f t="shared" si="11"/>
        <v>1</v>
      </c>
      <c r="F29" s="622">
        <f t="shared" si="12"/>
        <v>0</v>
      </c>
      <c r="G29" s="621">
        <f t="shared" si="13"/>
        <v>0</v>
      </c>
      <c r="H29" s="621"/>
      <c r="I29" s="621"/>
      <c r="J29" s="621">
        <f t="shared" si="14"/>
        <v>0</v>
      </c>
      <c r="K29" s="621"/>
      <c r="L29" s="621"/>
      <c r="M29" s="621">
        <f t="shared" si="15"/>
        <v>0</v>
      </c>
      <c r="N29" s="621">
        <f t="shared" si="16"/>
        <v>0</v>
      </c>
      <c r="O29" s="621"/>
      <c r="P29" s="621"/>
      <c r="Q29" s="621">
        <f t="shared" si="17"/>
        <v>0</v>
      </c>
      <c r="R29" s="621"/>
      <c r="S29" s="621"/>
      <c r="T29" s="621">
        <f t="shared" si="18"/>
        <v>0</v>
      </c>
      <c r="U29" s="621"/>
      <c r="V29" s="621"/>
      <c r="W29" s="621">
        <f t="shared" si="19"/>
        <v>462</v>
      </c>
      <c r="X29" s="621">
        <f t="shared" si="20"/>
        <v>0</v>
      </c>
      <c r="Y29" s="621"/>
      <c r="Z29" s="621"/>
      <c r="AA29" s="621">
        <f t="shared" si="21"/>
        <v>462</v>
      </c>
      <c r="AB29" s="621">
        <f>'B8-TDA2, DA5'!F9</f>
        <v>462</v>
      </c>
      <c r="AC29" s="621"/>
      <c r="AD29" s="621">
        <f t="shared" si="22"/>
        <v>0</v>
      </c>
      <c r="AE29" s="621"/>
      <c r="AF29" s="621"/>
      <c r="AG29" s="621">
        <f t="shared" si="23"/>
        <v>0</v>
      </c>
      <c r="AH29" s="621"/>
      <c r="AI29" s="621"/>
      <c r="AJ29" s="621">
        <f t="shared" si="24"/>
        <v>0</v>
      </c>
      <c r="AK29" s="621"/>
      <c r="AL29" s="621"/>
      <c r="AM29" s="621">
        <f t="shared" si="25"/>
        <v>0</v>
      </c>
      <c r="AN29" s="621"/>
      <c r="AO29" s="621"/>
      <c r="AP29" s="621">
        <f t="shared" si="26"/>
        <v>0</v>
      </c>
      <c r="AQ29" s="621"/>
      <c r="AR29" s="621"/>
      <c r="AS29" s="621">
        <f t="shared" si="27"/>
        <v>0</v>
      </c>
      <c r="AT29" s="621"/>
      <c r="AU29" s="621"/>
      <c r="AV29" s="621">
        <f t="shared" si="28"/>
        <v>25</v>
      </c>
      <c r="AW29" s="621">
        <f t="shared" si="29"/>
        <v>0</v>
      </c>
      <c r="AX29" s="621"/>
      <c r="AY29" s="621"/>
      <c r="AZ29" s="621">
        <f t="shared" si="30"/>
        <v>0</v>
      </c>
      <c r="BA29" s="621"/>
      <c r="BB29" s="621"/>
      <c r="BC29" s="621">
        <f t="shared" si="31"/>
        <v>25</v>
      </c>
      <c r="BD29" s="621">
        <f>'B17-TDA3,DA10'!D92</f>
        <v>24</v>
      </c>
      <c r="BE29" s="621">
        <f>'B17-TDA3,DA10'!E92</f>
        <v>1</v>
      </c>
      <c r="BF29" s="317" t="e">
        <f>Y29+#REF!+AE29+AH29</f>
        <v>#REF!</v>
      </c>
      <c r="BG29" s="317" t="e">
        <f>Z29+#REF!+AF29+AI29</f>
        <v>#REF!</v>
      </c>
      <c r="BH29" s="317">
        <f t="shared" si="5"/>
        <v>0</v>
      </c>
      <c r="BI29" s="317">
        <f t="shared" si="6"/>
        <v>0</v>
      </c>
      <c r="BJ29" s="320" t="e">
        <f>AK29+AX29+#REF!</f>
        <v>#REF!</v>
      </c>
      <c r="BK29" s="320" t="e">
        <f>AL29+AY29+#REF!</f>
        <v>#REF!</v>
      </c>
      <c r="BL29" s="320" t="e">
        <f>#REF!+O29+#REF!+BD29+U29+#REF!</f>
        <v>#REF!</v>
      </c>
      <c r="BM29" s="320" t="e">
        <f>#REF!+P29+#REF!+BE29+V29+#REF!</f>
        <v>#REF!</v>
      </c>
      <c r="BN29" s="320">
        <f t="shared" si="7"/>
        <v>0</v>
      </c>
      <c r="BO29" s="320">
        <f t="shared" si="8"/>
        <v>0</v>
      </c>
      <c r="BQ29" s="317" t="e">
        <f>#REF!+P29+V29+#REF!+#REF!+BE29</f>
        <v>#REF!</v>
      </c>
      <c r="BR29" s="317">
        <f t="shared" si="2"/>
        <v>0</v>
      </c>
    </row>
    <row r="30" spans="1:70" ht="22.5" customHeight="1" x14ac:dyDescent="0.25">
      <c r="A30" s="318">
        <v>18</v>
      </c>
      <c r="B30" s="719" t="s">
        <v>191</v>
      </c>
      <c r="C30" s="621">
        <f t="shared" si="9"/>
        <v>25</v>
      </c>
      <c r="D30" s="622">
        <f t="shared" si="10"/>
        <v>24</v>
      </c>
      <c r="E30" s="622">
        <f t="shared" si="11"/>
        <v>1</v>
      </c>
      <c r="F30" s="622">
        <f t="shared" si="12"/>
        <v>0</v>
      </c>
      <c r="G30" s="621">
        <f t="shared" si="13"/>
        <v>0</v>
      </c>
      <c r="H30" s="621"/>
      <c r="I30" s="621"/>
      <c r="J30" s="621">
        <f t="shared" si="14"/>
        <v>0</v>
      </c>
      <c r="K30" s="621"/>
      <c r="L30" s="621"/>
      <c r="M30" s="621">
        <f t="shared" si="15"/>
        <v>0</v>
      </c>
      <c r="N30" s="621">
        <f t="shared" si="16"/>
        <v>0</v>
      </c>
      <c r="O30" s="621"/>
      <c r="P30" s="621"/>
      <c r="Q30" s="621">
        <f t="shared" si="17"/>
        <v>0</v>
      </c>
      <c r="R30" s="621"/>
      <c r="S30" s="621"/>
      <c r="T30" s="621">
        <f t="shared" si="18"/>
        <v>0</v>
      </c>
      <c r="U30" s="621"/>
      <c r="V30" s="621"/>
      <c r="W30" s="621">
        <f t="shared" si="19"/>
        <v>0</v>
      </c>
      <c r="X30" s="621">
        <f t="shared" si="20"/>
        <v>0</v>
      </c>
      <c r="Y30" s="621"/>
      <c r="Z30" s="621"/>
      <c r="AA30" s="621">
        <f t="shared" si="21"/>
        <v>0</v>
      </c>
      <c r="AB30" s="621"/>
      <c r="AC30" s="621"/>
      <c r="AD30" s="621">
        <f t="shared" si="22"/>
        <v>0</v>
      </c>
      <c r="AE30" s="621"/>
      <c r="AF30" s="621"/>
      <c r="AG30" s="621">
        <f t="shared" si="23"/>
        <v>0</v>
      </c>
      <c r="AH30" s="621"/>
      <c r="AI30" s="621"/>
      <c r="AJ30" s="621">
        <f t="shared" si="24"/>
        <v>0</v>
      </c>
      <c r="AK30" s="621"/>
      <c r="AL30" s="621"/>
      <c r="AM30" s="621">
        <f t="shared" si="25"/>
        <v>0</v>
      </c>
      <c r="AN30" s="621"/>
      <c r="AO30" s="621"/>
      <c r="AP30" s="621">
        <f t="shared" si="26"/>
        <v>0</v>
      </c>
      <c r="AQ30" s="621"/>
      <c r="AR30" s="621"/>
      <c r="AS30" s="621">
        <f t="shared" si="27"/>
        <v>0</v>
      </c>
      <c r="AT30" s="621"/>
      <c r="AU30" s="621"/>
      <c r="AV30" s="621">
        <f t="shared" si="28"/>
        <v>25</v>
      </c>
      <c r="AW30" s="621">
        <f t="shared" si="29"/>
        <v>0</v>
      </c>
      <c r="AX30" s="621"/>
      <c r="AY30" s="621"/>
      <c r="AZ30" s="621">
        <f t="shared" si="30"/>
        <v>0</v>
      </c>
      <c r="BA30" s="621"/>
      <c r="BB30" s="621"/>
      <c r="BC30" s="621">
        <f t="shared" si="31"/>
        <v>25</v>
      </c>
      <c r="BD30" s="621">
        <f>'B17-TDA3,DA10'!D93</f>
        <v>24</v>
      </c>
      <c r="BE30" s="621">
        <f>'B17-TDA3,DA10'!E93</f>
        <v>1</v>
      </c>
      <c r="BF30" s="317" t="e">
        <f>Y30+#REF!+AE30+AH30</f>
        <v>#REF!</v>
      </c>
      <c r="BG30" s="317" t="e">
        <f>Z30+#REF!+AF30+AI30</f>
        <v>#REF!</v>
      </c>
      <c r="BH30" s="317">
        <f t="shared" si="5"/>
        <v>0</v>
      </c>
      <c r="BI30" s="317">
        <f t="shared" si="6"/>
        <v>0</v>
      </c>
      <c r="BJ30" s="320" t="e">
        <f>AK30+AX30+#REF!</f>
        <v>#REF!</v>
      </c>
      <c r="BK30" s="320" t="e">
        <f>AL30+AY30+#REF!</f>
        <v>#REF!</v>
      </c>
      <c r="BL30" s="320" t="e">
        <f>#REF!+O30+#REF!+BD30+U30+#REF!</f>
        <v>#REF!</v>
      </c>
      <c r="BM30" s="320" t="e">
        <f>#REF!+P30+#REF!+BE30+V30+#REF!</f>
        <v>#REF!</v>
      </c>
      <c r="BN30" s="320">
        <f t="shared" si="7"/>
        <v>0</v>
      </c>
      <c r="BO30" s="320">
        <f t="shared" si="8"/>
        <v>0</v>
      </c>
      <c r="BQ30" s="317" t="e">
        <f>#REF!+P30+V30+#REF!+#REF!+BE30</f>
        <v>#REF!</v>
      </c>
      <c r="BR30" s="317">
        <f t="shared" si="2"/>
        <v>0</v>
      </c>
    </row>
    <row r="31" spans="1:70" ht="22.5" customHeight="1" x14ac:dyDescent="0.25">
      <c r="A31" s="318">
        <v>19</v>
      </c>
      <c r="B31" s="719" t="s">
        <v>209</v>
      </c>
      <c r="C31" s="621">
        <f t="shared" si="9"/>
        <v>25</v>
      </c>
      <c r="D31" s="622">
        <f t="shared" si="10"/>
        <v>24</v>
      </c>
      <c r="E31" s="622">
        <f t="shared" si="11"/>
        <v>1</v>
      </c>
      <c r="F31" s="622">
        <f t="shared" si="12"/>
        <v>0</v>
      </c>
      <c r="G31" s="621">
        <f t="shared" si="13"/>
        <v>0</v>
      </c>
      <c r="H31" s="621"/>
      <c r="I31" s="621"/>
      <c r="J31" s="621">
        <f t="shared" si="14"/>
        <v>0</v>
      </c>
      <c r="K31" s="621"/>
      <c r="L31" s="621"/>
      <c r="M31" s="621">
        <f t="shared" si="15"/>
        <v>0</v>
      </c>
      <c r="N31" s="621">
        <f t="shared" si="16"/>
        <v>0</v>
      </c>
      <c r="O31" s="621"/>
      <c r="P31" s="621"/>
      <c r="Q31" s="621">
        <f t="shared" si="17"/>
        <v>0</v>
      </c>
      <c r="R31" s="621"/>
      <c r="S31" s="621"/>
      <c r="T31" s="621">
        <f t="shared" si="18"/>
        <v>0</v>
      </c>
      <c r="U31" s="621"/>
      <c r="V31" s="621"/>
      <c r="W31" s="621">
        <f t="shared" si="19"/>
        <v>0</v>
      </c>
      <c r="X31" s="621">
        <f t="shared" si="20"/>
        <v>0</v>
      </c>
      <c r="Y31" s="621"/>
      <c r="Z31" s="621"/>
      <c r="AA31" s="621">
        <f t="shared" si="21"/>
        <v>0</v>
      </c>
      <c r="AB31" s="621"/>
      <c r="AC31" s="621"/>
      <c r="AD31" s="621">
        <f t="shared" si="22"/>
        <v>0</v>
      </c>
      <c r="AE31" s="621"/>
      <c r="AF31" s="621"/>
      <c r="AG31" s="621">
        <f t="shared" si="23"/>
        <v>0</v>
      </c>
      <c r="AH31" s="621"/>
      <c r="AI31" s="621"/>
      <c r="AJ31" s="621">
        <f t="shared" si="24"/>
        <v>0</v>
      </c>
      <c r="AK31" s="621"/>
      <c r="AL31" s="621"/>
      <c r="AM31" s="621">
        <f t="shared" si="25"/>
        <v>0</v>
      </c>
      <c r="AN31" s="621"/>
      <c r="AO31" s="621"/>
      <c r="AP31" s="621">
        <f t="shared" si="26"/>
        <v>0</v>
      </c>
      <c r="AQ31" s="621"/>
      <c r="AR31" s="621"/>
      <c r="AS31" s="621">
        <f t="shared" si="27"/>
        <v>0</v>
      </c>
      <c r="AT31" s="621"/>
      <c r="AU31" s="621"/>
      <c r="AV31" s="621">
        <f t="shared" si="28"/>
        <v>25</v>
      </c>
      <c r="AW31" s="621">
        <f t="shared" si="29"/>
        <v>0</v>
      </c>
      <c r="AX31" s="621"/>
      <c r="AY31" s="621"/>
      <c r="AZ31" s="621">
        <f t="shared" si="30"/>
        <v>0</v>
      </c>
      <c r="BA31" s="621"/>
      <c r="BB31" s="621"/>
      <c r="BC31" s="621">
        <f t="shared" si="31"/>
        <v>25</v>
      </c>
      <c r="BD31" s="621">
        <f>'B17-TDA3,DA10'!D94</f>
        <v>24</v>
      </c>
      <c r="BE31" s="621">
        <f>'B17-TDA3,DA10'!E94</f>
        <v>1</v>
      </c>
      <c r="BF31" s="317" t="e">
        <f>Y31+#REF!+AE31+AH31</f>
        <v>#REF!</v>
      </c>
      <c r="BG31" s="317" t="e">
        <f>Z31+#REF!+AF31+AI31</f>
        <v>#REF!</v>
      </c>
      <c r="BH31" s="317">
        <f t="shared" si="5"/>
        <v>0</v>
      </c>
      <c r="BI31" s="317">
        <f t="shared" si="6"/>
        <v>0</v>
      </c>
      <c r="BJ31" s="320" t="e">
        <f>AK31+AX31+#REF!</f>
        <v>#REF!</v>
      </c>
      <c r="BK31" s="320" t="e">
        <f>AL31+AY31+#REF!</f>
        <v>#REF!</v>
      </c>
      <c r="BL31" s="320" t="e">
        <f>#REF!+O31+#REF!+BD31+U31+#REF!</f>
        <v>#REF!</v>
      </c>
      <c r="BM31" s="320" t="e">
        <f>#REF!+P31+#REF!+BE31+V31+#REF!</f>
        <v>#REF!</v>
      </c>
      <c r="BN31" s="320">
        <f t="shared" si="7"/>
        <v>0</v>
      </c>
      <c r="BO31" s="320">
        <f t="shared" si="8"/>
        <v>0</v>
      </c>
      <c r="BQ31" s="317" t="e">
        <f>#REF!+P31+V31+#REF!+#REF!+BE31</f>
        <v>#REF!</v>
      </c>
      <c r="BR31" s="317">
        <f t="shared" si="2"/>
        <v>0</v>
      </c>
    </row>
    <row r="32" spans="1:70" ht="22.5" customHeight="1" x14ac:dyDescent="0.25">
      <c r="A32" s="318">
        <v>20</v>
      </c>
      <c r="B32" s="719" t="s">
        <v>131</v>
      </c>
      <c r="C32" s="621">
        <f t="shared" si="9"/>
        <v>1370</v>
      </c>
      <c r="D32" s="622">
        <f t="shared" si="10"/>
        <v>1297</v>
      </c>
      <c r="E32" s="622">
        <f t="shared" si="11"/>
        <v>73</v>
      </c>
      <c r="F32" s="622">
        <f t="shared" si="12"/>
        <v>0</v>
      </c>
      <c r="G32" s="621">
        <f t="shared" si="13"/>
        <v>0</v>
      </c>
      <c r="H32" s="621"/>
      <c r="I32" s="621"/>
      <c r="J32" s="621">
        <f t="shared" si="14"/>
        <v>0</v>
      </c>
      <c r="K32" s="621"/>
      <c r="L32" s="621"/>
      <c r="M32" s="621">
        <f t="shared" si="15"/>
        <v>0</v>
      </c>
      <c r="N32" s="621">
        <f t="shared" si="16"/>
        <v>0</v>
      </c>
      <c r="O32" s="621"/>
      <c r="P32" s="621"/>
      <c r="Q32" s="621">
        <f t="shared" si="17"/>
        <v>0</v>
      </c>
      <c r="R32" s="621"/>
      <c r="S32" s="621"/>
      <c r="T32" s="621">
        <f t="shared" si="18"/>
        <v>0</v>
      </c>
      <c r="U32" s="621"/>
      <c r="V32" s="621"/>
      <c r="W32" s="621">
        <f t="shared" si="19"/>
        <v>0</v>
      </c>
      <c r="X32" s="621">
        <f t="shared" si="20"/>
        <v>0</v>
      </c>
      <c r="Y32" s="621"/>
      <c r="Z32" s="621"/>
      <c r="AA32" s="621">
        <f t="shared" si="21"/>
        <v>0</v>
      </c>
      <c r="AB32" s="621"/>
      <c r="AC32" s="621"/>
      <c r="AD32" s="621">
        <f t="shared" si="22"/>
        <v>0</v>
      </c>
      <c r="AE32" s="621"/>
      <c r="AF32" s="621"/>
      <c r="AG32" s="621">
        <f t="shared" si="23"/>
        <v>0</v>
      </c>
      <c r="AH32" s="621"/>
      <c r="AI32" s="621"/>
      <c r="AJ32" s="621">
        <f t="shared" si="24"/>
        <v>0</v>
      </c>
      <c r="AK32" s="621"/>
      <c r="AL32" s="621"/>
      <c r="AM32" s="621">
        <f t="shared" si="25"/>
        <v>0</v>
      </c>
      <c r="AN32" s="621"/>
      <c r="AO32" s="621"/>
      <c r="AP32" s="621">
        <f t="shared" si="26"/>
        <v>0</v>
      </c>
      <c r="AQ32" s="621"/>
      <c r="AR32" s="621"/>
      <c r="AS32" s="621">
        <f t="shared" si="27"/>
        <v>0</v>
      </c>
      <c r="AT32" s="621"/>
      <c r="AU32" s="621"/>
      <c r="AV32" s="621">
        <f t="shared" si="28"/>
        <v>1370</v>
      </c>
      <c r="AW32" s="621">
        <f t="shared" si="29"/>
        <v>1345</v>
      </c>
      <c r="AX32" s="621">
        <f>'B15-TDA1,DA10'!F9</f>
        <v>1273</v>
      </c>
      <c r="AY32" s="621">
        <f>'B15-TDA1,DA10'!F11</f>
        <v>72</v>
      </c>
      <c r="AZ32" s="621">
        <f t="shared" si="30"/>
        <v>0</v>
      </c>
      <c r="BA32" s="621"/>
      <c r="BB32" s="621"/>
      <c r="BC32" s="621">
        <f t="shared" si="31"/>
        <v>25</v>
      </c>
      <c r="BD32" s="621">
        <f>'B17-TDA3,DA10'!D95</f>
        <v>24</v>
      </c>
      <c r="BE32" s="621">
        <f>'B17-TDA3,DA10'!E95</f>
        <v>1</v>
      </c>
      <c r="BF32" s="317" t="e">
        <f>Y32+#REF!+AE32+AH32</f>
        <v>#REF!</v>
      </c>
      <c r="BG32" s="317" t="e">
        <f>Z32+#REF!+AF32+AI32</f>
        <v>#REF!</v>
      </c>
      <c r="BH32" s="317">
        <f t="shared" si="5"/>
        <v>0</v>
      </c>
      <c r="BI32" s="317">
        <f t="shared" si="6"/>
        <v>0</v>
      </c>
      <c r="BJ32" s="320" t="e">
        <f>AK32+AX32+#REF!</f>
        <v>#REF!</v>
      </c>
      <c r="BK32" s="320" t="e">
        <f>AL32+AY32+#REF!</f>
        <v>#REF!</v>
      </c>
      <c r="BL32" s="320" t="e">
        <f>#REF!+O32+#REF!+BD32+U32+#REF!</f>
        <v>#REF!</v>
      </c>
      <c r="BM32" s="320" t="e">
        <f>#REF!+P32+#REF!+BE32+V32+#REF!</f>
        <v>#REF!</v>
      </c>
      <c r="BN32" s="320">
        <f t="shared" si="7"/>
        <v>0</v>
      </c>
      <c r="BO32" s="320">
        <f t="shared" si="8"/>
        <v>0</v>
      </c>
      <c r="BQ32" s="317" t="e">
        <f>#REF!+P32+V32+#REF!+#REF!+BE32</f>
        <v>#REF!</v>
      </c>
      <c r="BR32" s="317">
        <f t="shared" si="2"/>
        <v>0</v>
      </c>
    </row>
    <row r="33" spans="1:70" ht="22.5" customHeight="1" x14ac:dyDescent="0.25">
      <c r="A33" s="318">
        <v>21</v>
      </c>
      <c r="B33" s="719" t="s">
        <v>192</v>
      </c>
      <c r="C33" s="621">
        <f t="shared" si="9"/>
        <v>266</v>
      </c>
      <c r="D33" s="622">
        <f t="shared" si="10"/>
        <v>265</v>
      </c>
      <c r="E33" s="622">
        <f t="shared" si="11"/>
        <v>1</v>
      </c>
      <c r="F33" s="622">
        <f t="shared" si="12"/>
        <v>0</v>
      </c>
      <c r="G33" s="621">
        <f t="shared" si="13"/>
        <v>0</v>
      </c>
      <c r="H33" s="621"/>
      <c r="I33" s="621"/>
      <c r="J33" s="621">
        <f t="shared" si="14"/>
        <v>0</v>
      </c>
      <c r="K33" s="621"/>
      <c r="L33" s="621"/>
      <c r="M33" s="621">
        <f t="shared" si="15"/>
        <v>0</v>
      </c>
      <c r="N33" s="621">
        <f t="shared" si="16"/>
        <v>0</v>
      </c>
      <c r="O33" s="621"/>
      <c r="P33" s="621"/>
      <c r="Q33" s="621">
        <f t="shared" si="17"/>
        <v>0</v>
      </c>
      <c r="R33" s="621"/>
      <c r="S33" s="621"/>
      <c r="T33" s="621">
        <f t="shared" si="18"/>
        <v>0</v>
      </c>
      <c r="U33" s="621"/>
      <c r="V33" s="621"/>
      <c r="W33" s="621">
        <f t="shared" si="19"/>
        <v>0</v>
      </c>
      <c r="X33" s="621">
        <f t="shared" si="20"/>
        <v>0</v>
      </c>
      <c r="Y33" s="621"/>
      <c r="Z33" s="621"/>
      <c r="AA33" s="621">
        <f t="shared" si="21"/>
        <v>0</v>
      </c>
      <c r="AB33" s="621"/>
      <c r="AC33" s="621"/>
      <c r="AD33" s="621">
        <f t="shared" si="22"/>
        <v>0</v>
      </c>
      <c r="AE33" s="621"/>
      <c r="AF33" s="621"/>
      <c r="AG33" s="621">
        <f t="shared" si="23"/>
        <v>0</v>
      </c>
      <c r="AH33" s="621"/>
      <c r="AI33" s="621"/>
      <c r="AJ33" s="621">
        <f t="shared" si="24"/>
        <v>0</v>
      </c>
      <c r="AK33" s="621"/>
      <c r="AL33" s="621"/>
      <c r="AM33" s="621">
        <f t="shared" si="25"/>
        <v>0</v>
      </c>
      <c r="AN33" s="621"/>
      <c r="AO33" s="621"/>
      <c r="AP33" s="621">
        <f t="shared" si="26"/>
        <v>0</v>
      </c>
      <c r="AQ33" s="621"/>
      <c r="AR33" s="621"/>
      <c r="AS33" s="621">
        <f t="shared" si="27"/>
        <v>0</v>
      </c>
      <c r="AT33" s="621"/>
      <c r="AU33" s="621"/>
      <c r="AV33" s="621">
        <f t="shared" si="28"/>
        <v>266</v>
      </c>
      <c r="AW33" s="621">
        <f t="shared" si="29"/>
        <v>0</v>
      </c>
      <c r="AX33" s="621"/>
      <c r="AY33" s="621"/>
      <c r="AZ33" s="621">
        <f t="shared" si="30"/>
        <v>241</v>
      </c>
      <c r="BA33" s="621">
        <f>'B16-TDA2,DA10'!E11</f>
        <v>241</v>
      </c>
      <c r="BB33" s="621"/>
      <c r="BC33" s="621">
        <f t="shared" si="31"/>
        <v>25</v>
      </c>
      <c r="BD33" s="621">
        <f>'B17-TDA3,DA10'!D97</f>
        <v>24</v>
      </c>
      <c r="BE33" s="621">
        <f>'B17-TDA3,DA10'!E97</f>
        <v>1</v>
      </c>
      <c r="BF33" s="317" t="e">
        <f>Y33+#REF!+AE33+AH33</f>
        <v>#REF!</v>
      </c>
      <c r="BG33" s="317" t="e">
        <f>Z33+#REF!+AF33+AI33</f>
        <v>#REF!</v>
      </c>
      <c r="BH33" s="317">
        <f t="shared" si="5"/>
        <v>0</v>
      </c>
      <c r="BI33" s="317">
        <f t="shared" si="6"/>
        <v>0</v>
      </c>
      <c r="BJ33" s="320" t="e">
        <f>AK33+AX33+#REF!</f>
        <v>#REF!</v>
      </c>
      <c r="BK33" s="320" t="e">
        <f>AL33+AY33+#REF!</f>
        <v>#REF!</v>
      </c>
      <c r="BL33" s="320" t="e">
        <f>#REF!+O33+#REF!+BD33+U33+#REF!</f>
        <v>#REF!</v>
      </c>
      <c r="BM33" s="320" t="e">
        <f>#REF!+P33+#REF!+BE33+V33+#REF!</f>
        <v>#REF!</v>
      </c>
      <c r="BN33" s="320">
        <f t="shared" si="7"/>
        <v>0</v>
      </c>
      <c r="BO33" s="320">
        <f t="shared" si="8"/>
        <v>0</v>
      </c>
      <c r="BQ33" s="317" t="e">
        <f>#REF!+P33+V33+#REF!+#REF!+BE33</f>
        <v>#REF!</v>
      </c>
      <c r="BR33" s="317">
        <f t="shared" si="2"/>
        <v>0</v>
      </c>
    </row>
    <row r="34" spans="1:70" ht="22.5" customHeight="1" x14ac:dyDescent="0.25">
      <c r="A34" s="318">
        <v>22</v>
      </c>
      <c r="B34" s="719" t="s">
        <v>193</v>
      </c>
      <c r="C34" s="621">
        <f t="shared" si="9"/>
        <v>25</v>
      </c>
      <c r="D34" s="622">
        <f t="shared" si="10"/>
        <v>24</v>
      </c>
      <c r="E34" s="622">
        <f t="shared" si="11"/>
        <v>1</v>
      </c>
      <c r="F34" s="622">
        <f t="shared" si="12"/>
        <v>0</v>
      </c>
      <c r="G34" s="621">
        <f t="shared" si="13"/>
        <v>0</v>
      </c>
      <c r="H34" s="621"/>
      <c r="I34" s="621"/>
      <c r="J34" s="621">
        <f t="shared" si="14"/>
        <v>0</v>
      </c>
      <c r="K34" s="621"/>
      <c r="L34" s="621"/>
      <c r="M34" s="621">
        <f t="shared" si="15"/>
        <v>0</v>
      </c>
      <c r="N34" s="621">
        <f t="shared" si="16"/>
        <v>0</v>
      </c>
      <c r="O34" s="621"/>
      <c r="P34" s="621"/>
      <c r="Q34" s="621">
        <f t="shared" si="17"/>
        <v>0</v>
      </c>
      <c r="R34" s="621"/>
      <c r="S34" s="621"/>
      <c r="T34" s="621">
        <f t="shared" si="18"/>
        <v>0</v>
      </c>
      <c r="U34" s="621"/>
      <c r="V34" s="621"/>
      <c r="W34" s="621">
        <f t="shared" si="19"/>
        <v>0</v>
      </c>
      <c r="X34" s="621">
        <f t="shared" si="20"/>
        <v>0</v>
      </c>
      <c r="Y34" s="621"/>
      <c r="Z34" s="621"/>
      <c r="AA34" s="621">
        <f t="shared" si="21"/>
        <v>0</v>
      </c>
      <c r="AB34" s="621"/>
      <c r="AC34" s="621"/>
      <c r="AD34" s="621">
        <f t="shared" si="22"/>
        <v>0</v>
      </c>
      <c r="AE34" s="621"/>
      <c r="AF34" s="621"/>
      <c r="AG34" s="621">
        <f t="shared" si="23"/>
        <v>0</v>
      </c>
      <c r="AH34" s="621"/>
      <c r="AI34" s="621"/>
      <c r="AJ34" s="621">
        <f t="shared" si="24"/>
        <v>0</v>
      </c>
      <c r="AK34" s="621"/>
      <c r="AL34" s="621"/>
      <c r="AM34" s="621">
        <f t="shared" si="25"/>
        <v>0</v>
      </c>
      <c r="AN34" s="621"/>
      <c r="AO34" s="621"/>
      <c r="AP34" s="621">
        <f t="shared" si="26"/>
        <v>0</v>
      </c>
      <c r="AQ34" s="621"/>
      <c r="AR34" s="621"/>
      <c r="AS34" s="621">
        <f t="shared" si="27"/>
        <v>0</v>
      </c>
      <c r="AT34" s="621"/>
      <c r="AU34" s="621"/>
      <c r="AV34" s="621">
        <f t="shared" si="28"/>
        <v>25</v>
      </c>
      <c r="AW34" s="621">
        <f t="shared" si="29"/>
        <v>0</v>
      </c>
      <c r="AX34" s="621"/>
      <c r="AY34" s="621"/>
      <c r="AZ34" s="621">
        <f t="shared" si="30"/>
        <v>0</v>
      </c>
      <c r="BA34" s="621"/>
      <c r="BB34" s="621"/>
      <c r="BC34" s="621">
        <f t="shared" si="31"/>
        <v>25</v>
      </c>
      <c r="BD34" s="621">
        <f>'B17-TDA3,DA10'!D98</f>
        <v>24</v>
      </c>
      <c r="BE34" s="621">
        <f>'B17-TDA3,DA10'!E98</f>
        <v>1</v>
      </c>
      <c r="BF34" s="317" t="e">
        <f>Y34+#REF!+AE34+AH34</f>
        <v>#REF!</v>
      </c>
      <c r="BG34" s="317" t="e">
        <f>Z34+#REF!+AF34+AI34</f>
        <v>#REF!</v>
      </c>
      <c r="BH34" s="317">
        <f t="shared" si="5"/>
        <v>0</v>
      </c>
      <c r="BI34" s="317">
        <f t="shared" si="6"/>
        <v>0</v>
      </c>
      <c r="BJ34" s="320" t="e">
        <f>AK34+AX34+#REF!</f>
        <v>#REF!</v>
      </c>
      <c r="BK34" s="320" t="e">
        <f>AL34+AY34+#REF!</f>
        <v>#REF!</v>
      </c>
      <c r="BL34" s="320" t="e">
        <f>#REF!+O34+#REF!+BD34+U34+#REF!</f>
        <v>#REF!</v>
      </c>
      <c r="BM34" s="320" t="e">
        <f>#REF!+P34+#REF!+BE34+V34+#REF!</f>
        <v>#REF!</v>
      </c>
      <c r="BN34" s="320">
        <f t="shared" si="7"/>
        <v>0</v>
      </c>
      <c r="BO34" s="320">
        <f t="shared" si="8"/>
        <v>0</v>
      </c>
      <c r="BQ34" s="317" t="e">
        <f>#REF!+P34+V34+#REF!+#REF!+BE34</f>
        <v>#REF!</v>
      </c>
      <c r="BR34" s="317">
        <f t="shared" si="2"/>
        <v>0</v>
      </c>
    </row>
    <row r="35" spans="1:70" ht="22.5" customHeight="1" x14ac:dyDescent="0.25">
      <c r="A35" s="318">
        <v>23</v>
      </c>
      <c r="B35" s="719" t="s">
        <v>136</v>
      </c>
      <c r="C35" s="621">
        <f t="shared" si="9"/>
        <v>25</v>
      </c>
      <c r="D35" s="622">
        <f t="shared" si="10"/>
        <v>24</v>
      </c>
      <c r="E35" s="622">
        <f t="shared" si="11"/>
        <v>1</v>
      </c>
      <c r="F35" s="622">
        <f t="shared" si="12"/>
        <v>0</v>
      </c>
      <c r="G35" s="621">
        <f t="shared" si="13"/>
        <v>0</v>
      </c>
      <c r="H35" s="621"/>
      <c r="I35" s="621"/>
      <c r="J35" s="621">
        <f t="shared" si="14"/>
        <v>0</v>
      </c>
      <c r="K35" s="621"/>
      <c r="L35" s="621"/>
      <c r="M35" s="621">
        <f t="shared" si="15"/>
        <v>0</v>
      </c>
      <c r="N35" s="621">
        <f t="shared" si="16"/>
        <v>0</v>
      </c>
      <c r="O35" s="621"/>
      <c r="P35" s="621"/>
      <c r="Q35" s="621">
        <f t="shared" si="17"/>
        <v>0</v>
      </c>
      <c r="R35" s="621"/>
      <c r="S35" s="621"/>
      <c r="T35" s="621">
        <f t="shared" si="18"/>
        <v>0</v>
      </c>
      <c r="U35" s="621"/>
      <c r="V35" s="621"/>
      <c r="W35" s="621">
        <f t="shared" si="19"/>
        <v>0</v>
      </c>
      <c r="X35" s="621">
        <f t="shared" si="20"/>
        <v>0</v>
      </c>
      <c r="Y35" s="621"/>
      <c r="Z35" s="621"/>
      <c r="AA35" s="621">
        <f t="shared" si="21"/>
        <v>0</v>
      </c>
      <c r="AB35" s="621"/>
      <c r="AC35" s="621"/>
      <c r="AD35" s="621">
        <f t="shared" si="22"/>
        <v>0</v>
      </c>
      <c r="AE35" s="621"/>
      <c r="AF35" s="621"/>
      <c r="AG35" s="621">
        <f t="shared" si="23"/>
        <v>0</v>
      </c>
      <c r="AH35" s="621"/>
      <c r="AI35" s="621"/>
      <c r="AJ35" s="621">
        <f t="shared" si="24"/>
        <v>0</v>
      </c>
      <c r="AK35" s="621"/>
      <c r="AL35" s="621"/>
      <c r="AM35" s="621">
        <f t="shared" si="25"/>
        <v>0</v>
      </c>
      <c r="AN35" s="621"/>
      <c r="AO35" s="621"/>
      <c r="AP35" s="621">
        <f t="shared" si="26"/>
        <v>0</v>
      </c>
      <c r="AQ35" s="621"/>
      <c r="AR35" s="621"/>
      <c r="AS35" s="621">
        <f t="shared" si="27"/>
        <v>0</v>
      </c>
      <c r="AT35" s="621"/>
      <c r="AU35" s="621"/>
      <c r="AV35" s="621">
        <f t="shared" si="28"/>
        <v>25</v>
      </c>
      <c r="AW35" s="621">
        <f t="shared" si="29"/>
        <v>0</v>
      </c>
      <c r="AX35" s="621"/>
      <c r="AY35" s="621"/>
      <c r="AZ35" s="621">
        <f t="shared" si="30"/>
        <v>0</v>
      </c>
      <c r="BA35" s="621"/>
      <c r="BB35" s="621"/>
      <c r="BC35" s="621">
        <f t="shared" si="31"/>
        <v>25</v>
      </c>
      <c r="BD35" s="621">
        <f>'B17-TDA3,DA10'!D99</f>
        <v>24</v>
      </c>
      <c r="BE35" s="621">
        <f>'B17-TDA3,DA10'!E99</f>
        <v>1</v>
      </c>
      <c r="BF35" s="319">
        <f>'B17-TDA3,DA10'!F99</f>
        <v>0</v>
      </c>
      <c r="BG35" s="319">
        <f>'B17-TDA3,DA10'!G99</f>
        <v>0</v>
      </c>
      <c r="BH35" s="319">
        <f>'B17-TDA3,DA10'!H99</f>
        <v>0</v>
      </c>
      <c r="BI35" s="319">
        <f>'B17-TDA3,DA10'!I99</f>
        <v>0</v>
      </c>
      <c r="BJ35" s="319">
        <f>'B17-TDA3,DA10'!J99</f>
        <v>0</v>
      </c>
      <c r="BK35" s="319">
        <f>'B17-TDA3,DA10'!K99</f>
        <v>0</v>
      </c>
      <c r="BL35" s="319">
        <f>'B17-TDA3,DA10'!L99</f>
        <v>0</v>
      </c>
      <c r="BM35" s="319">
        <f>'B17-TDA3,DA10'!M99</f>
        <v>0</v>
      </c>
      <c r="BN35" s="319">
        <f>'B17-TDA3,DA10'!N99</f>
        <v>0</v>
      </c>
      <c r="BO35" s="319">
        <f>'B17-TDA3,DA10'!O99</f>
        <v>0</v>
      </c>
      <c r="BQ35" s="317" t="e">
        <f>#REF!+P35+V35+#REF!+#REF!+BE35</f>
        <v>#REF!</v>
      </c>
      <c r="BR35" s="317">
        <f t="shared" si="2"/>
        <v>0</v>
      </c>
    </row>
    <row r="36" spans="1:70" ht="22.5" customHeight="1" x14ac:dyDescent="0.25">
      <c r="A36" s="318">
        <v>24</v>
      </c>
      <c r="B36" s="719" t="s">
        <v>210</v>
      </c>
      <c r="C36" s="621">
        <f t="shared" si="9"/>
        <v>25</v>
      </c>
      <c r="D36" s="622">
        <f t="shared" si="10"/>
        <v>24</v>
      </c>
      <c r="E36" s="622">
        <f t="shared" si="11"/>
        <v>1</v>
      </c>
      <c r="F36" s="622">
        <f t="shared" si="12"/>
        <v>0</v>
      </c>
      <c r="G36" s="621">
        <f t="shared" si="13"/>
        <v>0</v>
      </c>
      <c r="H36" s="621"/>
      <c r="I36" s="621"/>
      <c r="J36" s="621">
        <f t="shared" si="14"/>
        <v>0</v>
      </c>
      <c r="K36" s="621"/>
      <c r="L36" s="621"/>
      <c r="M36" s="621">
        <f t="shared" si="15"/>
        <v>0</v>
      </c>
      <c r="N36" s="621">
        <f t="shared" si="16"/>
        <v>0</v>
      </c>
      <c r="O36" s="621"/>
      <c r="P36" s="621"/>
      <c r="Q36" s="621">
        <f t="shared" si="17"/>
        <v>0</v>
      </c>
      <c r="R36" s="621"/>
      <c r="S36" s="621"/>
      <c r="T36" s="621">
        <f t="shared" si="18"/>
        <v>0</v>
      </c>
      <c r="U36" s="621"/>
      <c r="V36" s="621"/>
      <c r="W36" s="621">
        <f t="shared" si="19"/>
        <v>0</v>
      </c>
      <c r="X36" s="621">
        <f t="shared" si="20"/>
        <v>0</v>
      </c>
      <c r="Y36" s="621"/>
      <c r="Z36" s="621"/>
      <c r="AA36" s="621">
        <f t="shared" si="21"/>
        <v>0</v>
      </c>
      <c r="AB36" s="621"/>
      <c r="AC36" s="621"/>
      <c r="AD36" s="621">
        <f t="shared" si="22"/>
        <v>0</v>
      </c>
      <c r="AE36" s="621"/>
      <c r="AF36" s="621"/>
      <c r="AG36" s="621">
        <f t="shared" si="23"/>
        <v>0</v>
      </c>
      <c r="AH36" s="621"/>
      <c r="AI36" s="621"/>
      <c r="AJ36" s="621">
        <f t="shared" si="24"/>
        <v>0</v>
      </c>
      <c r="AK36" s="621"/>
      <c r="AL36" s="621"/>
      <c r="AM36" s="621">
        <f t="shared" si="25"/>
        <v>0</v>
      </c>
      <c r="AN36" s="621"/>
      <c r="AO36" s="621"/>
      <c r="AP36" s="621">
        <f t="shared" si="26"/>
        <v>0</v>
      </c>
      <c r="AQ36" s="621"/>
      <c r="AR36" s="621"/>
      <c r="AS36" s="621">
        <f t="shared" si="27"/>
        <v>0</v>
      </c>
      <c r="AT36" s="621"/>
      <c r="AU36" s="621"/>
      <c r="AV36" s="621">
        <f t="shared" si="28"/>
        <v>25</v>
      </c>
      <c r="AW36" s="621">
        <f t="shared" si="29"/>
        <v>0</v>
      </c>
      <c r="AX36" s="621"/>
      <c r="AY36" s="621"/>
      <c r="AZ36" s="621">
        <f t="shared" si="30"/>
        <v>0</v>
      </c>
      <c r="BA36" s="621"/>
      <c r="BB36" s="621"/>
      <c r="BC36" s="621">
        <f t="shared" si="31"/>
        <v>25</v>
      </c>
      <c r="BD36" s="621">
        <f>'B17-TDA3,DA10'!D100</f>
        <v>24</v>
      </c>
      <c r="BE36" s="621">
        <f>'B17-TDA3,DA10'!E100</f>
        <v>1</v>
      </c>
      <c r="BF36" s="319">
        <f>'B17-TDA3,DA10'!F100</f>
        <v>0</v>
      </c>
      <c r="BG36" s="319">
        <f>'B17-TDA3,DA10'!G100</f>
        <v>0</v>
      </c>
      <c r="BH36" s="319">
        <f>'B17-TDA3,DA10'!H100</f>
        <v>0</v>
      </c>
      <c r="BI36" s="319">
        <f>'B17-TDA3,DA10'!I100</f>
        <v>0</v>
      </c>
      <c r="BJ36" s="319">
        <f>'B17-TDA3,DA10'!J100</f>
        <v>0</v>
      </c>
      <c r="BK36" s="319">
        <f>'B17-TDA3,DA10'!K100</f>
        <v>0</v>
      </c>
      <c r="BL36" s="319">
        <f>'B17-TDA3,DA10'!L100</f>
        <v>0</v>
      </c>
      <c r="BM36" s="319">
        <f>'B17-TDA3,DA10'!M100</f>
        <v>0</v>
      </c>
      <c r="BN36" s="319">
        <f>'B17-TDA3,DA10'!N100</f>
        <v>0</v>
      </c>
      <c r="BO36" s="319">
        <f>'B17-TDA3,DA10'!O100</f>
        <v>0</v>
      </c>
      <c r="BQ36" s="317" t="e">
        <f>#REF!+P36+V36+#REF!+#REF!+BE36</f>
        <v>#REF!</v>
      </c>
      <c r="BR36" s="317">
        <f t="shared" si="2"/>
        <v>0</v>
      </c>
    </row>
    <row r="37" spans="1:70" ht="36" customHeight="1" x14ac:dyDescent="0.25">
      <c r="A37" s="318">
        <v>25</v>
      </c>
      <c r="B37" s="719" t="s">
        <v>257</v>
      </c>
      <c r="C37" s="621">
        <f t="shared" si="9"/>
        <v>1025</v>
      </c>
      <c r="D37" s="622">
        <f t="shared" si="10"/>
        <v>1025</v>
      </c>
      <c r="E37" s="622">
        <f t="shared" si="11"/>
        <v>0</v>
      </c>
      <c r="F37" s="622">
        <f t="shared" si="12"/>
        <v>0</v>
      </c>
      <c r="G37" s="621">
        <f t="shared" si="13"/>
        <v>0</v>
      </c>
      <c r="H37" s="621"/>
      <c r="I37" s="621"/>
      <c r="J37" s="621">
        <f t="shared" si="14"/>
        <v>0</v>
      </c>
      <c r="K37" s="621"/>
      <c r="L37" s="621"/>
      <c r="M37" s="621">
        <f t="shared" si="15"/>
        <v>1025</v>
      </c>
      <c r="N37" s="621">
        <f t="shared" si="16"/>
        <v>1025</v>
      </c>
      <c r="O37" s="621">
        <f>'B4-TDA1,DA3'!L20</f>
        <v>1025</v>
      </c>
      <c r="P37" s="621"/>
      <c r="Q37" s="621">
        <f t="shared" si="17"/>
        <v>0</v>
      </c>
      <c r="R37" s="621"/>
      <c r="S37" s="621"/>
      <c r="T37" s="621">
        <f t="shared" si="18"/>
        <v>0</v>
      </c>
      <c r="U37" s="621"/>
      <c r="V37" s="621"/>
      <c r="W37" s="621">
        <f t="shared" si="19"/>
        <v>0</v>
      </c>
      <c r="X37" s="621">
        <f t="shared" si="20"/>
        <v>0</v>
      </c>
      <c r="Y37" s="621"/>
      <c r="Z37" s="621"/>
      <c r="AA37" s="621">
        <f t="shared" si="21"/>
        <v>0</v>
      </c>
      <c r="AB37" s="621"/>
      <c r="AC37" s="621"/>
      <c r="AD37" s="621">
        <f t="shared" si="22"/>
        <v>0</v>
      </c>
      <c r="AE37" s="621"/>
      <c r="AF37" s="621"/>
      <c r="AG37" s="621">
        <f t="shared" si="23"/>
        <v>0</v>
      </c>
      <c r="AH37" s="621"/>
      <c r="AI37" s="621"/>
      <c r="AJ37" s="621">
        <f t="shared" si="24"/>
        <v>0</v>
      </c>
      <c r="AK37" s="621"/>
      <c r="AL37" s="621"/>
      <c r="AM37" s="621">
        <f t="shared" si="25"/>
        <v>0</v>
      </c>
      <c r="AN37" s="621"/>
      <c r="AO37" s="621"/>
      <c r="AP37" s="621">
        <f t="shared" si="26"/>
        <v>0</v>
      </c>
      <c r="AQ37" s="621"/>
      <c r="AR37" s="621"/>
      <c r="AS37" s="621">
        <f t="shared" si="27"/>
        <v>0</v>
      </c>
      <c r="AT37" s="621"/>
      <c r="AU37" s="621"/>
      <c r="AV37" s="621">
        <f t="shared" si="28"/>
        <v>0</v>
      </c>
      <c r="AW37" s="621">
        <f t="shared" si="29"/>
        <v>0</v>
      </c>
      <c r="AX37" s="621"/>
      <c r="AY37" s="621"/>
      <c r="AZ37" s="621">
        <f t="shared" si="30"/>
        <v>0</v>
      </c>
      <c r="BA37" s="621"/>
      <c r="BB37" s="621"/>
      <c r="BC37" s="621">
        <f t="shared" si="31"/>
        <v>0</v>
      </c>
      <c r="BD37" s="621"/>
      <c r="BE37" s="621"/>
      <c r="BF37" s="317" t="e">
        <f>Y37+#REF!+AE37+AH37</f>
        <v>#REF!</v>
      </c>
      <c r="BG37" s="317" t="e">
        <f>Z37+#REF!+AF37+AI37</f>
        <v>#REF!</v>
      </c>
      <c r="BH37" s="317">
        <f>R37+AN37</f>
        <v>0</v>
      </c>
      <c r="BI37" s="317">
        <f>S37+AO37</f>
        <v>0</v>
      </c>
      <c r="BJ37" s="320" t="e">
        <f>AK37+AX37+#REF!</f>
        <v>#REF!</v>
      </c>
      <c r="BK37" s="320" t="e">
        <f>AL37+AY37+#REF!</f>
        <v>#REF!</v>
      </c>
      <c r="BL37" s="320" t="e">
        <f>#REF!+O37+#REF!+BD37+U37+#REF!</f>
        <v>#REF!</v>
      </c>
      <c r="BM37" s="320" t="e">
        <f>#REF!+P37+#REF!+BE37+V37+#REF!</f>
        <v>#REF!</v>
      </c>
      <c r="BN37" s="320">
        <f>H37+AQ37</f>
        <v>0</v>
      </c>
      <c r="BO37" s="320">
        <f>I37+AR37</f>
        <v>0</v>
      </c>
      <c r="BQ37" s="317" t="e">
        <f>#REF!+P37+V37+#REF!+#REF!+BE37</f>
        <v>#REF!</v>
      </c>
      <c r="BR37" s="317">
        <f t="shared" si="2"/>
        <v>0</v>
      </c>
    </row>
    <row r="38" spans="1:70" s="2" customFormat="1" ht="22.5" customHeight="1" x14ac:dyDescent="0.25">
      <c r="A38" s="3" t="s">
        <v>31</v>
      </c>
      <c r="B38" s="720" t="s">
        <v>204</v>
      </c>
      <c r="C38" s="620">
        <f>SUM(C39:C46)</f>
        <v>318243</v>
      </c>
      <c r="D38" s="620">
        <f t="shared" ref="D38:F38" si="32">SUM(D39:D46)</f>
        <v>303091</v>
      </c>
      <c r="E38" s="620">
        <f t="shared" si="32"/>
        <v>15152</v>
      </c>
      <c r="F38" s="620">
        <f t="shared" si="32"/>
        <v>5817</v>
      </c>
      <c r="G38" s="620">
        <f t="shared" ref="G38:BE38" si="33">SUM(G39:G46)</f>
        <v>1852</v>
      </c>
      <c r="H38" s="620">
        <f t="shared" si="33"/>
        <v>1763</v>
      </c>
      <c r="I38" s="620">
        <f t="shared" si="33"/>
        <v>89</v>
      </c>
      <c r="J38" s="620">
        <f t="shared" si="33"/>
        <v>3965</v>
      </c>
      <c r="K38" s="620">
        <f t="shared" si="33"/>
        <v>3778</v>
      </c>
      <c r="L38" s="620">
        <f t="shared" si="33"/>
        <v>187</v>
      </c>
      <c r="M38" s="620">
        <f t="shared" si="33"/>
        <v>192132</v>
      </c>
      <c r="N38" s="620">
        <f t="shared" si="33"/>
        <v>104106</v>
      </c>
      <c r="O38" s="620">
        <f t="shared" si="33"/>
        <v>104106</v>
      </c>
      <c r="P38" s="620">
        <f t="shared" si="33"/>
        <v>0</v>
      </c>
      <c r="Q38" s="620">
        <f t="shared" si="33"/>
        <v>88026</v>
      </c>
      <c r="R38" s="620">
        <f t="shared" si="33"/>
        <v>79356</v>
      </c>
      <c r="S38" s="620">
        <f t="shared" si="33"/>
        <v>8670</v>
      </c>
      <c r="T38" s="620">
        <f t="shared" si="33"/>
        <v>19817</v>
      </c>
      <c r="U38" s="620">
        <f t="shared" si="33"/>
        <v>18873</v>
      </c>
      <c r="V38" s="620">
        <f t="shared" si="33"/>
        <v>944</v>
      </c>
      <c r="W38" s="620">
        <f t="shared" si="33"/>
        <v>62209</v>
      </c>
      <c r="X38" s="620">
        <f t="shared" si="33"/>
        <v>13679</v>
      </c>
      <c r="Y38" s="620">
        <f t="shared" si="33"/>
        <v>12647</v>
      </c>
      <c r="Z38" s="620">
        <f t="shared" si="33"/>
        <v>1032</v>
      </c>
      <c r="AA38" s="620">
        <f t="shared" si="33"/>
        <v>2425</v>
      </c>
      <c r="AB38" s="620">
        <f t="shared" si="33"/>
        <v>2425</v>
      </c>
      <c r="AC38" s="620">
        <f t="shared" si="33"/>
        <v>0</v>
      </c>
      <c r="AD38" s="620">
        <f t="shared" si="33"/>
        <v>31636</v>
      </c>
      <c r="AE38" s="620">
        <f t="shared" si="33"/>
        <v>29250</v>
      </c>
      <c r="AF38" s="620">
        <f t="shared" si="33"/>
        <v>2386</v>
      </c>
      <c r="AG38" s="620">
        <f t="shared" si="33"/>
        <v>14469</v>
      </c>
      <c r="AH38" s="620">
        <f t="shared" si="33"/>
        <v>14469</v>
      </c>
      <c r="AI38" s="620">
        <f t="shared" si="33"/>
        <v>0</v>
      </c>
      <c r="AJ38" s="620">
        <f t="shared" si="33"/>
        <v>3474</v>
      </c>
      <c r="AK38" s="620">
        <f t="shared" si="33"/>
        <v>3307</v>
      </c>
      <c r="AL38" s="620">
        <f t="shared" si="33"/>
        <v>167</v>
      </c>
      <c r="AM38" s="620">
        <f t="shared" si="33"/>
        <v>0</v>
      </c>
      <c r="AN38" s="620">
        <f t="shared" si="33"/>
        <v>0</v>
      </c>
      <c r="AO38" s="620">
        <f t="shared" si="33"/>
        <v>0</v>
      </c>
      <c r="AP38" s="620">
        <f t="shared" si="33"/>
        <v>25132</v>
      </c>
      <c r="AQ38" s="620">
        <f t="shared" si="33"/>
        <v>23934</v>
      </c>
      <c r="AR38" s="620">
        <f t="shared" si="33"/>
        <v>1198</v>
      </c>
      <c r="AS38" s="620">
        <f t="shared" si="33"/>
        <v>3321</v>
      </c>
      <c r="AT38" s="620">
        <f t="shared" si="33"/>
        <v>3164</v>
      </c>
      <c r="AU38" s="620">
        <f t="shared" si="33"/>
        <v>157</v>
      </c>
      <c r="AV38" s="620">
        <f t="shared" si="33"/>
        <v>6341</v>
      </c>
      <c r="AW38" s="620">
        <f t="shared" si="33"/>
        <v>4484</v>
      </c>
      <c r="AX38" s="620">
        <f t="shared" si="33"/>
        <v>4245</v>
      </c>
      <c r="AY38" s="620">
        <f t="shared" si="33"/>
        <v>239</v>
      </c>
      <c r="AZ38" s="620">
        <f t="shared" ref="AZ38:BB38" si="34">SUM(AZ39:AZ46)</f>
        <v>467</v>
      </c>
      <c r="BA38" s="620">
        <f t="shared" si="34"/>
        <v>467</v>
      </c>
      <c r="BB38" s="620">
        <f t="shared" si="34"/>
        <v>0</v>
      </c>
      <c r="BC38" s="620">
        <f t="shared" si="33"/>
        <v>1390</v>
      </c>
      <c r="BD38" s="620">
        <f t="shared" si="33"/>
        <v>1307</v>
      </c>
      <c r="BE38" s="620">
        <f t="shared" si="33"/>
        <v>83</v>
      </c>
      <c r="BF38" s="317"/>
      <c r="BG38" s="317"/>
      <c r="BH38" s="317"/>
      <c r="BI38" s="317"/>
      <c r="BJ38" s="320"/>
      <c r="BK38" s="320"/>
      <c r="BL38" s="320"/>
      <c r="BM38" s="320"/>
      <c r="BN38" s="320"/>
      <c r="BO38" s="320"/>
      <c r="BQ38" s="93" t="e">
        <f>#REF!+P38+V38+#REF!+#REF!+BE38</f>
        <v>#REF!</v>
      </c>
      <c r="BR38" s="93">
        <f t="shared" si="2"/>
        <v>1287</v>
      </c>
    </row>
    <row r="39" spans="1:70" ht="22.5" customHeight="1" x14ac:dyDescent="0.25">
      <c r="A39" s="318">
        <v>1</v>
      </c>
      <c r="B39" s="719" t="s">
        <v>38</v>
      </c>
      <c r="C39" s="621">
        <f t="shared" si="9"/>
        <v>42675</v>
      </c>
      <c r="D39" s="622">
        <f t="shared" si="10"/>
        <v>40642</v>
      </c>
      <c r="E39" s="622">
        <f t="shared" si="11"/>
        <v>2033</v>
      </c>
      <c r="F39" s="622">
        <f t="shared" si="12"/>
        <v>926</v>
      </c>
      <c r="G39" s="621">
        <f t="shared" si="13"/>
        <v>629</v>
      </c>
      <c r="H39" s="623">
        <f>'B3-DA1'!E14</f>
        <v>599</v>
      </c>
      <c r="I39" s="623">
        <f>'B3-DA1'!E17</f>
        <v>30</v>
      </c>
      <c r="J39" s="621">
        <f t="shared" si="14"/>
        <v>297</v>
      </c>
      <c r="K39" s="623">
        <f>'B3-DA1'!E15</f>
        <v>283</v>
      </c>
      <c r="L39" s="623">
        <f>'B3-DA1'!E18</f>
        <v>14</v>
      </c>
      <c r="M39" s="621">
        <f t="shared" si="15"/>
        <v>28028</v>
      </c>
      <c r="N39" s="621">
        <f t="shared" si="16"/>
        <v>14810</v>
      </c>
      <c r="O39" s="621">
        <f>'B4-TDA1,DA3'!E20</f>
        <v>14810</v>
      </c>
      <c r="P39" s="621"/>
      <c r="Q39" s="621">
        <f t="shared" si="17"/>
        <v>13218</v>
      </c>
      <c r="R39" s="621">
        <f>'B5-TDA2,DA3'!F17+'B5-TDA2,DA3'!O17</f>
        <v>11916</v>
      </c>
      <c r="S39" s="621">
        <f>'B5-TDA2,DA3'!F18+'B5-TDA2,DA3'!O18</f>
        <v>1302</v>
      </c>
      <c r="T39" s="621">
        <f t="shared" si="18"/>
        <v>2375</v>
      </c>
      <c r="U39" s="621">
        <f>'B6-DA4'!E19</f>
        <v>2262</v>
      </c>
      <c r="V39" s="621">
        <f>'B6-DA4'!E21</f>
        <v>113</v>
      </c>
      <c r="W39" s="621">
        <f t="shared" si="19"/>
        <v>6670</v>
      </c>
      <c r="X39" s="621">
        <f t="shared" si="20"/>
        <v>673</v>
      </c>
      <c r="Y39" s="621">
        <f>'B7-TDA1,DA5'!G16</f>
        <v>622</v>
      </c>
      <c r="Z39" s="621">
        <f>'B7-TDA1,DA5'!G18</f>
        <v>51</v>
      </c>
      <c r="AA39" s="621">
        <f t="shared" si="21"/>
        <v>314</v>
      </c>
      <c r="AB39" s="621">
        <f>'B8-TDA2, DA5'!G9</f>
        <v>314</v>
      </c>
      <c r="AC39" s="621"/>
      <c r="AD39" s="621">
        <f t="shared" si="22"/>
        <v>3954</v>
      </c>
      <c r="AE39" s="621">
        <f>'B9-TDA3,DA5'!F9</f>
        <v>3656</v>
      </c>
      <c r="AF39" s="621">
        <f>'B9-TDA3,DA5'!F11</f>
        <v>298</v>
      </c>
      <c r="AG39" s="621">
        <f t="shared" si="23"/>
        <v>1729</v>
      </c>
      <c r="AH39" s="621">
        <f>'B10-TDA4,DA5'!F11</f>
        <v>1729</v>
      </c>
      <c r="AI39" s="621"/>
      <c r="AJ39" s="621">
        <f t="shared" si="24"/>
        <v>426</v>
      </c>
      <c r="AK39" s="621">
        <f>'B11-DA6'!G33</f>
        <v>406</v>
      </c>
      <c r="AL39" s="621">
        <f>'B11-DA6'!G35</f>
        <v>20</v>
      </c>
      <c r="AM39" s="621">
        <f t="shared" si="25"/>
        <v>0</v>
      </c>
      <c r="AN39" s="621"/>
      <c r="AO39" s="621"/>
      <c r="AP39" s="621">
        <f t="shared" si="26"/>
        <v>3079</v>
      </c>
      <c r="AQ39" s="621">
        <f>'B13-DA8'!F11</f>
        <v>2932</v>
      </c>
      <c r="AR39" s="621">
        <f>'B13-DA8'!F13</f>
        <v>147</v>
      </c>
      <c r="AS39" s="621">
        <f t="shared" si="27"/>
        <v>360</v>
      </c>
      <c r="AT39" s="621">
        <f>'B14-TDA2,DA9'!G17</f>
        <v>343</v>
      </c>
      <c r="AU39" s="621">
        <f>'B14-TDA2,DA9'!G19</f>
        <v>17</v>
      </c>
      <c r="AV39" s="621">
        <f>AW39+BC39+AZ39</f>
        <v>811</v>
      </c>
      <c r="AW39" s="621">
        <f t="shared" si="29"/>
        <v>581</v>
      </c>
      <c r="AX39" s="621">
        <f>'B15-TDA1,DA10'!G9</f>
        <v>550</v>
      </c>
      <c r="AY39" s="621">
        <f>'B15-TDA1,DA10'!G11</f>
        <v>31</v>
      </c>
      <c r="AZ39" s="621">
        <f t="shared" ref="AZ39:AZ46" si="35">SUM(BA39:BB39)</f>
        <v>57</v>
      </c>
      <c r="BA39" s="621">
        <f>'B16-TDA2,DA10'!G11</f>
        <v>57</v>
      </c>
      <c r="BB39" s="621"/>
      <c r="BC39" s="621">
        <f t="shared" si="31"/>
        <v>173</v>
      </c>
      <c r="BD39" s="621">
        <f>'B17-TDA3,DA10'!D102</f>
        <v>163</v>
      </c>
      <c r="BE39" s="621">
        <f>'B17-TDA3,DA10'!E102</f>
        <v>10</v>
      </c>
      <c r="BF39" s="319">
        <f>'B17-TDA3,DA10'!F102</f>
        <v>0</v>
      </c>
      <c r="BG39" s="319">
        <f>'B17-TDA3,DA10'!G102</f>
        <v>0</v>
      </c>
      <c r="BH39" s="319">
        <f>'B17-TDA3,DA10'!H102</f>
        <v>0</v>
      </c>
      <c r="BI39" s="319">
        <f>'B17-TDA3,DA10'!I102</f>
        <v>0</v>
      </c>
      <c r="BJ39" s="319">
        <f>'B17-TDA3,DA10'!J102</f>
        <v>0</v>
      </c>
      <c r="BK39" s="319">
        <f>'B17-TDA3,DA10'!K102</f>
        <v>0</v>
      </c>
      <c r="BL39" s="319">
        <f>'B17-TDA3,DA10'!L102</f>
        <v>0</v>
      </c>
      <c r="BM39" s="319">
        <f>'B17-TDA3,DA10'!M102</f>
        <v>0</v>
      </c>
      <c r="BN39" s="319">
        <f>'B17-TDA3,DA10'!N102</f>
        <v>0</v>
      </c>
      <c r="BO39" s="319">
        <f>'B17-TDA3,DA10'!O102</f>
        <v>0</v>
      </c>
      <c r="BQ39" s="317" t="e">
        <f>#REF!+P39+V39+#REF!+#REF!+BE39</f>
        <v>#REF!</v>
      </c>
      <c r="BR39" s="317">
        <f t="shared" si="2"/>
        <v>177</v>
      </c>
    </row>
    <row r="40" spans="1:70" ht="22.5" customHeight="1" x14ac:dyDescent="0.25">
      <c r="A40" s="318">
        <v>2</v>
      </c>
      <c r="B40" s="719" t="s">
        <v>39</v>
      </c>
      <c r="C40" s="621">
        <f t="shared" si="9"/>
        <v>39419</v>
      </c>
      <c r="D40" s="622">
        <f t="shared" si="10"/>
        <v>37193</v>
      </c>
      <c r="E40" s="622">
        <f t="shared" si="11"/>
        <v>2226</v>
      </c>
      <c r="F40" s="622">
        <f t="shared" si="12"/>
        <v>485</v>
      </c>
      <c r="G40" s="621">
        <f t="shared" si="13"/>
        <v>245</v>
      </c>
      <c r="H40" s="623">
        <f>'B3-DA1'!F14</f>
        <v>233</v>
      </c>
      <c r="I40" s="623">
        <f>'B3-DA1'!F17</f>
        <v>12</v>
      </c>
      <c r="J40" s="621">
        <f t="shared" si="14"/>
        <v>240</v>
      </c>
      <c r="K40" s="623">
        <f>'B3-DA1'!F15</f>
        <v>229</v>
      </c>
      <c r="L40" s="623">
        <f>'B3-DA1'!F18</f>
        <v>11</v>
      </c>
      <c r="M40" s="621">
        <f t="shared" si="15"/>
        <v>21149</v>
      </c>
      <c r="N40" s="621">
        <f t="shared" si="16"/>
        <v>7839</v>
      </c>
      <c r="O40" s="621">
        <f>'B4-TDA1,DA3'!F20</f>
        <v>7839</v>
      </c>
      <c r="P40" s="621"/>
      <c r="Q40" s="621">
        <f t="shared" si="17"/>
        <v>13310</v>
      </c>
      <c r="R40" s="621">
        <f>'B5-TDA2,DA3'!G17+'B5-TDA2,DA3'!P17</f>
        <v>11999</v>
      </c>
      <c r="S40" s="621">
        <f>'B5-TDA2,DA3'!G18+'B5-TDA2,DA3'!P18</f>
        <v>1311</v>
      </c>
      <c r="T40" s="621">
        <f t="shared" si="18"/>
        <v>3050</v>
      </c>
      <c r="U40" s="621">
        <f>'B6-DA4'!F19</f>
        <v>2905</v>
      </c>
      <c r="V40" s="621">
        <f>'B6-DA4'!F21</f>
        <v>145</v>
      </c>
      <c r="W40" s="621">
        <f t="shared" si="19"/>
        <v>8707</v>
      </c>
      <c r="X40" s="621">
        <f t="shared" si="20"/>
        <v>2110</v>
      </c>
      <c r="Y40" s="621">
        <f>'B7-TDA1,DA5'!H16</f>
        <v>1951</v>
      </c>
      <c r="Z40" s="621">
        <f>'B7-TDA1,DA5'!H18</f>
        <v>159</v>
      </c>
      <c r="AA40" s="621">
        <f t="shared" si="21"/>
        <v>448</v>
      </c>
      <c r="AB40" s="621">
        <f>'B8-TDA2, DA5'!H9</f>
        <v>448</v>
      </c>
      <c r="AC40" s="621"/>
      <c r="AD40" s="621">
        <f t="shared" si="22"/>
        <v>3954</v>
      </c>
      <c r="AE40" s="621">
        <f>'B9-TDA3,DA5'!G9</f>
        <v>3656</v>
      </c>
      <c r="AF40" s="621">
        <f>'B9-TDA3,DA5'!G11</f>
        <v>298</v>
      </c>
      <c r="AG40" s="621">
        <f t="shared" si="23"/>
        <v>2195</v>
      </c>
      <c r="AH40" s="621">
        <f>'B10-TDA4,DA5'!G11</f>
        <v>2195</v>
      </c>
      <c r="AI40" s="621"/>
      <c r="AJ40" s="621">
        <f t="shared" si="24"/>
        <v>458</v>
      </c>
      <c r="AK40" s="621">
        <f>'B11-DA6'!H33</f>
        <v>436</v>
      </c>
      <c r="AL40" s="621">
        <f>'B11-DA6'!H35</f>
        <v>22</v>
      </c>
      <c r="AM40" s="621">
        <f t="shared" si="25"/>
        <v>0</v>
      </c>
      <c r="AN40" s="621"/>
      <c r="AO40" s="621"/>
      <c r="AP40" s="621">
        <f t="shared" si="26"/>
        <v>3959</v>
      </c>
      <c r="AQ40" s="621">
        <f>'B13-DA8'!G11</f>
        <v>3770</v>
      </c>
      <c r="AR40" s="621">
        <f>'B13-DA8'!G13</f>
        <v>189</v>
      </c>
      <c r="AS40" s="621">
        <f t="shared" si="27"/>
        <v>530</v>
      </c>
      <c r="AT40" s="621">
        <f>'B14-TDA2,DA9'!H17</f>
        <v>505</v>
      </c>
      <c r="AU40" s="621">
        <f>'B14-TDA2,DA9'!H19</f>
        <v>25</v>
      </c>
      <c r="AV40" s="621">
        <f t="shared" ref="AV40:AV46" si="36">AW40+BC40+AZ40</f>
        <v>1081</v>
      </c>
      <c r="AW40" s="621">
        <f t="shared" si="29"/>
        <v>830</v>
      </c>
      <c r="AX40" s="621">
        <f>'B15-TDA1,DA10'!H9</f>
        <v>786</v>
      </c>
      <c r="AY40" s="621">
        <f>'B15-TDA1,DA10'!H11</f>
        <v>44</v>
      </c>
      <c r="AZ40" s="621">
        <f t="shared" si="35"/>
        <v>57</v>
      </c>
      <c r="BA40" s="621">
        <f>'B16-TDA2,DA10'!H11</f>
        <v>57</v>
      </c>
      <c r="BB40" s="621"/>
      <c r="BC40" s="621">
        <f t="shared" si="31"/>
        <v>194</v>
      </c>
      <c r="BD40" s="621">
        <f>'B17-TDA3,DA10'!D103</f>
        <v>184</v>
      </c>
      <c r="BE40" s="621">
        <f>'B17-TDA3,DA10'!E103</f>
        <v>10</v>
      </c>
      <c r="BF40" s="319">
        <f>'B17-TDA3,DA10'!F103</f>
        <v>0</v>
      </c>
      <c r="BG40" s="319">
        <f>'B17-TDA3,DA10'!G103</f>
        <v>0</v>
      </c>
      <c r="BH40" s="319">
        <f>'B17-TDA3,DA10'!H103</f>
        <v>0</v>
      </c>
      <c r="BI40" s="319">
        <f>'B17-TDA3,DA10'!I103</f>
        <v>0</v>
      </c>
      <c r="BJ40" s="319">
        <f>'B17-TDA3,DA10'!J103</f>
        <v>0</v>
      </c>
      <c r="BK40" s="319">
        <f>'B17-TDA3,DA10'!K103</f>
        <v>0</v>
      </c>
      <c r="BL40" s="319">
        <f>'B17-TDA3,DA10'!L103</f>
        <v>0</v>
      </c>
      <c r="BM40" s="319">
        <f>'B17-TDA3,DA10'!M103</f>
        <v>0</v>
      </c>
      <c r="BN40" s="319">
        <f>'B17-TDA3,DA10'!N103</f>
        <v>0</v>
      </c>
      <c r="BO40" s="319">
        <f>'B17-TDA3,DA10'!O103</f>
        <v>0</v>
      </c>
      <c r="BQ40" s="317" t="e">
        <f>#REF!+P40+V40+#REF!+#REF!+BE40</f>
        <v>#REF!</v>
      </c>
      <c r="BR40" s="317">
        <f t="shared" si="2"/>
        <v>201</v>
      </c>
    </row>
    <row r="41" spans="1:70" ht="22.5" customHeight="1" x14ac:dyDescent="0.25">
      <c r="A41" s="318">
        <v>3</v>
      </c>
      <c r="B41" s="719" t="s">
        <v>40</v>
      </c>
      <c r="C41" s="621">
        <f t="shared" si="9"/>
        <v>46039</v>
      </c>
      <c r="D41" s="622">
        <f t="shared" si="10"/>
        <v>44481</v>
      </c>
      <c r="E41" s="622">
        <f t="shared" si="11"/>
        <v>1558</v>
      </c>
      <c r="F41" s="622">
        <f t="shared" si="12"/>
        <v>324</v>
      </c>
      <c r="G41" s="621">
        <f t="shared" si="13"/>
        <v>0</v>
      </c>
      <c r="H41" s="623">
        <f>'B3-DA1'!G14</f>
        <v>0</v>
      </c>
      <c r="I41" s="623">
        <f>'B3-DA1'!G17</f>
        <v>0</v>
      </c>
      <c r="J41" s="621">
        <f t="shared" si="14"/>
        <v>324</v>
      </c>
      <c r="K41" s="623">
        <f>'B3-DA1'!G15</f>
        <v>309</v>
      </c>
      <c r="L41" s="623">
        <f>'B3-DA1'!G18</f>
        <v>15</v>
      </c>
      <c r="M41" s="621">
        <f t="shared" si="15"/>
        <v>30058</v>
      </c>
      <c r="N41" s="621">
        <f t="shared" si="16"/>
        <v>23008</v>
      </c>
      <c r="O41" s="621">
        <f>'B4-TDA1,DA3'!G20</f>
        <v>23008</v>
      </c>
      <c r="P41" s="621"/>
      <c r="Q41" s="621">
        <f t="shared" si="17"/>
        <v>7050</v>
      </c>
      <c r="R41" s="621">
        <f>'B5-TDA2,DA3'!H17+'B5-TDA2,DA3'!Q17</f>
        <v>6355</v>
      </c>
      <c r="S41" s="621">
        <f>'B5-TDA2,DA3'!H18+'B5-TDA2,DA3'!Q18</f>
        <v>695</v>
      </c>
      <c r="T41" s="621">
        <f t="shared" si="18"/>
        <v>2241</v>
      </c>
      <c r="U41" s="621">
        <f>'B6-DA4'!G19</f>
        <v>2134</v>
      </c>
      <c r="V41" s="621">
        <f>'B6-DA4'!G21</f>
        <v>107</v>
      </c>
      <c r="W41" s="621">
        <f t="shared" si="19"/>
        <v>8798</v>
      </c>
      <c r="X41" s="621">
        <f t="shared" si="20"/>
        <v>2850</v>
      </c>
      <c r="Y41" s="621">
        <f>'B7-TDA1,DA5'!I16</f>
        <v>2635</v>
      </c>
      <c r="Z41" s="621">
        <f>'B7-TDA1,DA5'!I18</f>
        <v>215</v>
      </c>
      <c r="AA41" s="621">
        <f t="shared" si="21"/>
        <v>225</v>
      </c>
      <c r="AB41" s="621">
        <f>'B8-TDA2, DA5'!I9</f>
        <v>225</v>
      </c>
      <c r="AC41" s="621"/>
      <c r="AD41" s="621">
        <f t="shared" si="22"/>
        <v>3956</v>
      </c>
      <c r="AE41" s="621">
        <f>'B9-TDA3,DA5'!H9</f>
        <v>3657</v>
      </c>
      <c r="AF41" s="621">
        <f>'B9-TDA3,DA5'!H11</f>
        <v>299</v>
      </c>
      <c r="AG41" s="621">
        <f t="shared" si="23"/>
        <v>1767</v>
      </c>
      <c r="AH41" s="621">
        <f>'B10-TDA4,DA5'!H11</f>
        <v>1767</v>
      </c>
      <c r="AI41" s="621"/>
      <c r="AJ41" s="621">
        <f t="shared" si="24"/>
        <v>526</v>
      </c>
      <c r="AK41" s="621">
        <f>'B11-DA6'!I33</f>
        <v>501</v>
      </c>
      <c r="AL41" s="621">
        <f>'B11-DA6'!I35</f>
        <v>25</v>
      </c>
      <c r="AM41" s="621">
        <f t="shared" si="25"/>
        <v>0</v>
      </c>
      <c r="AN41" s="621"/>
      <c r="AO41" s="621"/>
      <c r="AP41" s="621">
        <f t="shared" si="26"/>
        <v>2890</v>
      </c>
      <c r="AQ41" s="621">
        <f>'B13-DA8'!H11</f>
        <v>2752</v>
      </c>
      <c r="AR41" s="621">
        <f>'B13-DA8'!H13</f>
        <v>138</v>
      </c>
      <c r="AS41" s="621">
        <f t="shared" si="27"/>
        <v>546</v>
      </c>
      <c r="AT41" s="621">
        <f>'B14-TDA2,DA9'!I17</f>
        <v>520</v>
      </c>
      <c r="AU41" s="621">
        <f>'B14-TDA2,DA9'!I19</f>
        <v>26</v>
      </c>
      <c r="AV41" s="621">
        <f t="shared" si="36"/>
        <v>656</v>
      </c>
      <c r="AW41" s="621">
        <f t="shared" si="29"/>
        <v>416</v>
      </c>
      <c r="AX41" s="621">
        <f>'B15-TDA1,DA10'!I9</f>
        <v>394</v>
      </c>
      <c r="AY41" s="621">
        <f>'B15-TDA1,DA10'!I11</f>
        <v>22</v>
      </c>
      <c r="AZ41" s="621">
        <f t="shared" si="35"/>
        <v>63</v>
      </c>
      <c r="BA41" s="621">
        <f>'B16-TDA2,DA10'!I11</f>
        <v>63</v>
      </c>
      <c r="BB41" s="621"/>
      <c r="BC41" s="621">
        <f t="shared" si="31"/>
        <v>177</v>
      </c>
      <c r="BD41" s="621">
        <f>'B17-TDA3,DA10'!D104</f>
        <v>161</v>
      </c>
      <c r="BE41" s="621">
        <f>'B17-TDA3,DA10'!E104</f>
        <v>16</v>
      </c>
      <c r="BF41" s="319">
        <f>'B17-TDA3,DA10'!F104</f>
        <v>0</v>
      </c>
      <c r="BG41" s="319">
        <f>'B17-TDA3,DA10'!G104</f>
        <v>0</v>
      </c>
      <c r="BH41" s="319">
        <f>'B17-TDA3,DA10'!H104</f>
        <v>0</v>
      </c>
      <c r="BI41" s="319">
        <f>'B17-TDA3,DA10'!I104</f>
        <v>0</v>
      </c>
      <c r="BJ41" s="319">
        <f>'B17-TDA3,DA10'!J104</f>
        <v>0</v>
      </c>
      <c r="BK41" s="319">
        <f>'B17-TDA3,DA10'!K104</f>
        <v>0</v>
      </c>
      <c r="BL41" s="319">
        <f>'B17-TDA3,DA10'!L104</f>
        <v>0</v>
      </c>
      <c r="BM41" s="319">
        <f>'B17-TDA3,DA10'!M104</f>
        <v>0</v>
      </c>
      <c r="BN41" s="319">
        <f>'B17-TDA3,DA10'!N104</f>
        <v>0</v>
      </c>
      <c r="BO41" s="319">
        <f>'B17-TDA3,DA10'!O104</f>
        <v>0</v>
      </c>
      <c r="BQ41" s="317" t="e">
        <f>#REF!+P41+V41+#REF!+#REF!+BE41</f>
        <v>#REF!</v>
      </c>
      <c r="BR41" s="317">
        <f t="shared" si="2"/>
        <v>138</v>
      </c>
    </row>
    <row r="42" spans="1:70" ht="22.5" customHeight="1" x14ac:dyDescent="0.25">
      <c r="A42" s="318">
        <v>4</v>
      </c>
      <c r="B42" s="719" t="s">
        <v>41</v>
      </c>
      <c r="C42" s="621">
        <f t="shared" si="9"/>
        <v>41624</v>
      </c>
      <c r="D42" s="622">
        <f t="shared" si="10"/>
        <v>39444</v>
      </c>
      <c r="E42" s="622">
        <f t="shared" si="11"/>
        <v>2180</v>
      </c>
      <c r="F42" s="622">
        <f t="shared" si="12"/>
        <v>223</v>
      </c>
      <c r="G42" s="621">
        <f t="shared" si="13"/>
        <v>0</v>
      </c>
      <c r="H42" s="623">
        <f>'B3-DA1'!H14</f>
        <v>0</v>
      </c>
      <c r="I42" s="623">
        <f>'B3-DA1'!H17</f>
        <v>0</v>
      </c>
      <c r="J42" s="621">
        <f t="shared" si="14"/>
        <v>223</v>
      </c>
      <c r="K42" s="623">
        <f>'B3-DA1'!H15</f>
        <v>212</v>
      </c>
      <c r="L42" s="623">
        <f>'B3-DA1'!H18</f>
        <v>11</v>
      </c>
      <c r="M42" s="621">
        <f t="shared" si="15"/>
        <v>28169</v>
      </c>
      <c r="N42" s="621">
        <f t="shared" si="16"/>
        <v>12698</v>
      </c>
      <c r="O42" s="621">
        <f>'B4-TDA1,DA3'!H20</f>
        <v>12698</v>
      </c>
      <c r="P42" s="621"/>
      <c r="Q42" s="621">
        <f t="shared" si="17"/>
        <v>15471</v>
      </c>
      <c r="R42" s="621">
        <f>'B5-TDA2,DA3'!I17+'B5-TDA2,DA3'!R17</f>
        <v>13947</v>
      </c>
      <c r="S42" s="621">
        <f>'B5-TDA2,DA3'!I18+'B5-TDA2,DA3'!R18</f>
        <v>1524</v>
      </c>
      <c r="T42" s="621">
        <f t="shared" si="18"/>
        <v>2571</v>
      </c>
      <c r="U42" s="621">
        <f>'B6-DA4'!H19</f>
        <v>2449</v>
      </c>
      <c r="V42" s="621">
        <f>'B6-DA4'!H21</f>
        <v>122</v>
      </c>
      <c r="W42" s="621">
        <f t="shared" si="19"/>
        <v>6030</v>
      </c>
      <c r="X42" s="621">
        <f t="shared" si="20"/>
        <v>14</v>
      </c>
      <c r="Y42" s="621">
        <f>'B7-TDA1,DA5'!J16</f>
        <v>13</v>
      </c>
      <c r="Z42" s="621">
        <f>'B7-TDA1,DA5'!J18</f>
        <v>1</v>
      </c>
      <c r="AA42" s="621">
        <f t="shared" si="21"/>
        <v>314</v>
      </c>
      <c r="AB42" s="621">
        <f>'B8-TDA2, DA5'!J9</f>
        <v>314</v>
      </c>
      <c r="AC42" s="621"/>
      <c r="AD42" s="621">
        <f t="shared" si="22"/>
        <v>3954</v>
      </c>
      <c r="AE42" s="621">
        <f>'B9-TDA3,DA5'!I9</f>
        <v>3656</v>
      </c>
      <c r="AF42" s="621">
        <f>'B9-TDA3,DA5'!I11</f>
        <v>298</v>
      </c>
      <c r="AG42" s="621">
        <f t="shared" si="23"/>
        <v>1748</v>
      </c>
      <c r="AH42" s="621">
        <f>'B10-TDA4,DA5'!I11</f>
        <v>1748</v>
      </c>
      <c r="AI42" s="621"/>
      <c r="AJ42" s="621">
        <f t="shared" si="24"/>
        <v>432</v>
      </c>
      <c r="AK42" s="621">
        <f>'B11-DA6'!J33</f>
        <v>411</v>
      </c>
      <c r="AL42" s="621">
        <f>'B11-DA6'!J35</f>
        <v>21</v>
      </c>
      <c r="AM42" s="621">
        <f t="shared" si="25"/>
        <v>0</v>
      </c>
      <c r="AN42" s="621"/>
      <c r="AO42" s="621"/>
      <c r="AP42" s="621">
        <f t="shared" si="26"/>
        <v>3142</v>
      </c>
      <c r="AQ42" s="621">
        <f>'B13-DA8'!I11</f>
        <v>2992</v>
      </c>
      <c r="AR42" s="621">
        <f>'B13-DA8'!I13</f>
        <v>150</v>
      </c>
      <c r="AS42" s="621">
        <f t="shared" si="27"/>
        <v>246</v>
      </c>
      <c r="AT42" s="621">
        <f>'B14-TDA2,DA9'!J17</f>
        <v>234</v>
      </c>
      <c r="AU42" s="621">
        <f>'B14-TDA2,DA9'!J19</f>
        <v>12</v>
      </c>
      <c r="AV42" s="621">
        <f t="shared" si="36"/>
        <v>811</v>
      </c>
      <c r="AW42" s="621">
        <f t="shared" si="29"/>
        <v>581</v>
      </c>
      <c r="AX42" s="621">
        <f>'B15-TDA1,DA10'!J9</f>
        <v>550</v>
      </c>
      <c r="AY42" s="621">
        <f>'B15-TDA1,DA10'!J11</f>
        <v>31</v>
      </c>
      <c r="AZ42" s="621">
        <f t="shared" si="35"/>
        <v>57</v>
      </c>
      <c r="BA42" s="621">
        <f>'B16-TDA2,DA10'!J11</f>
        <v>57</v>
      </c>
      <c r="BB42" s="621"/>
      <c r="BC42" s="621">
        <f t="shared" si="31"/>
        <v>173</v>
      </c>
      <c r="BD42" s="621">
        <f>'B17-TDA3,DA10'!D105</f>
        <v>163</v>
      </c>
      <c r="BE42" s="621">
        <f>'B17-TDA3,DA10'!E105</f>
        <v>10</v>
      </c>
      <c r="BF42" s="319">
        <f>'B17-TDA3,DA10'!F105</f>
        <v>0</v>
      </c>
      <c r="BG42" s="319">
        <f>'B17-TDA3,DA10'!G105</f>
        <v>0</v>
      </c>
      <c r="BH42" s="319">
        <f>'B17-TDA3,DA10'!H105</f>
        <v>0</v>
      </c>
      <c r="BI42" s="319">
        <f>'B17-TDA3,DA10'!I105</f>
        <v>0</v>
      </c>
      <c r="BJ42" s="319">
        <f>'B17-TDA3,DA10'!J105</f>
        <v>0</v>
      </c>
      <c r="BK42" s="319">
        <f>'B17-TDA3,DA10'!K105</f>
        <v>0</v>
      </c>
      <c r="BL42" s="319">
        <f>'B17-TDA3,DA10'!L105</f>
        <v>0</v>
      </c>
      <c r="BM42" s="319">
        <f>'B17-TDA3,DA10'!M105</f>
        <v>0</v>
      </c>
      <c r="BN42" s="319">
        <f>'B17-TDA3,DA10'!N105</f>
        <v>0</v>
      </c>
      <c r="BO42" s="319">
        <f>'B17-TDA3,DA10'!O105</f>
        <v>0</v>
      </c>
      <c r="BQ42" s="317" t="e">
        <f>#REF!+P42+V42+#REF!+#REF!+BE42</f>
        <v>#REF!</v>
      </c>
      <c r="BR42" s="317">
        <f t="shared" si="2"/>
        <v>150</v>
      </c>
    </row>
    <row r="43" spans="1:70" ht="22.5" customHeight="1" x14ac:dyDescent="0.25">
      <c r="A43" s="318">
        <v>5</v>
      </c>
      <c r="B43" s="719" t="s">
        <v>42</v>
      </c>
      <c r="C43" s="621">
        <f t="shared" si="9"/>
        <v>47758</v>
      </c>
      <c r="D43" s="622">
        <f t="shared" si="10"/>
        <v>45427</v>
      </c>
      <c r="E43" s="622">
        <f t="shared" si="11"/>
        <v>2331</v>
      </c>
      <c r="F43" s="622">
        <f t="shared" si="12"/>
        <v>1084</v>
      </c>
      <c r="G43" s="621">
        <f t="shared" si="13"/>
        <v>61</v>
      </c>
      <c r="H43" s="623">
        <f>'B3-DA1'!I14</f>
        <v>58</v>
      </c>
      <c r="I43" s="623">
        <f>'B3-DA1'!I17</f>
        <v>3</v>
      </c>
      <c r="J43" s="621">
        <f t="shared" si="14"/>
        <v>1023</v>
      </c>
      <c r="K43" s="623">
        <f>'B3-DA1'!I15</f>
        <v>975</v>
      </c>
      <c r="L43" s="623">
        <f>'B3-DA1'!I18</f>
        <v>48</v>
      </c>
      <c r="M43" s="621">
        <f t="shared" si="15"/>
        <v>26558</v>
      </c>
      <c r="N43" s="621">
        <f t="shared" si="16"/>
        <v>13261</v>
      </c>
      <c r="O43" s="621">
        <f>'B4-TDA1,DA3'!I20</f>
        <v>13261</v>
      </c>
      <c r="P43" s="621"/>
      <c r="Q43" s="621">
        <f t="shared" si="17"/>
        <v>13297</v>
      </c>
      <c r="R43" s="621">
        <f>'B5-TDA2,DA3'!J17+'B5-TDA2,DA3'!S17</f>
        <v>11988</v>
      </c>
      <c r="S43" s="621">
        <f>'B5-TDA2,DA3'!J18+'B5-TDA2,DA3'!S18</f>
        <v>1309</v>
      </c>
      <c r="T43" s="621">
        <f t="shared" si="18"/>
        <v>4003</v>
      </c>
      <c r="U43" s="621">
        <f>'B6-DA4'!I19</f>
        <v>3812</v>
      </c>
      <c r="V43" s="621">
        <f>'B6-DA4'!I21</f>
        <v>191</v>
      </c>
      <c r="W43" s="621">
        <f t="shared" si="19"/>
        <v>9209</v>
      </c>
      <c r="X43" s="621">
        <f t="shared" si="20"/>
        <v>2018</v>
      </c>
      <c r="Y43" s="621">
        <f>'B7-TDA1,DA5'!K16</f>
        <v>1866</v>
      </c>
      <c r="Z43" s="621">
        <f>'B7-TDA1,DA5'!K18</f>
        <v>152</v>
      </c>
      <c r="AA43" s="621">
        <f t="shared" si="21"/>
        <v>382</v>
      </c>
      <c r="AB43" s="621">
        <f>'B8-TDA2, DA5'!K9</f>
        <v>382</v>
      </c>
      <c r="AC43" s="621"/>
      <c r="AD43" s="621">
        <f t="shared" si="22"/>
        <v>3954</v>
      </c>
      <c r="AE43" s="621">
        <f>'B9-TDA3,DA5'!J9</f>
        <v>3656</v>
      </c>
      <c r="AF43" s="621">
        <f>'B9-TDA3,DA5'!J11</f>
        <v>298</v>
      </c>
      <c r="AG43" s="621">
        <f t="shared" si="23"/>
        <v>2855</v>
      </c>
      <c r="AH43" s="621">
        <f>'B10-TDA4,DA5'!J11</f>
        <v>2855</v>
      </c>
      <c r="AI43" s="621"/>
      <c r="AJ43" s="621">
        <f t="shared" si="24"/>
        <v>542</v>
      </c>
      <c r="AK43" s="621">
        <f>'B11-DA6'!K33</f>
        <v>516</v>
      </c>
      <c r="AL43" s="621">
        <f>'B11-DA6'!K35</f>
        <v>26</v>
      </c>
      <c r="AM43" s="621">
        <f t="shared" si="25"/>
        <v>0</v>
      </c>
      <c r="AN43" s="621"/>
      <c r="AO43" s="621"/>
      <c r="AP43" s="621">
        <f t="shared" si="26"/>
        <v>4837</v>
      </c>
      <c r="AQ43" s="621">
        <f>'B13-DA8'!J11</f>
        <v>4607</v>
      </c>
      <c r="AR43" s="621">
        <f>'B13-DA8'!J13</f>
        <v>230</v>
      </c>
      <c r="AS43" s="621">
        <f t="shared" si="27"/>
        <v>470</v>
      </c>
      <c r="AT43" s="621">
        <f>'B14-TDA2,DA9'!K17</f>
        <v>448</v>
      </c>
      <c r="AU43" s="621">
        <f>'B14-TDA2,DA9'!K19</f>
        <v>22</v>
      </c>
      <c r="AV43" s="621">
        <f t="shared" si="36"/>
        <v>1055</v>
      </c>
      <c r="AW43" s="621">
        <f t="shared" si="29"/>
        <v>706</v>
      </c>
      <c r="AX43" s="621">
        <f>'B15-TDA1,DA10'!K9</f>
        <v>668</v>
      </c>
      <c r="AY43" s="621">
        <f>'B15-TDA1,DA10'!K11</f>
        <v>38</v>
      </c>
      <c r="AZ43" s="621">
        <f t="shared" si="35"/>
        <v>92</v>
      </c>
      <c r="BA43" s="621">
        <f>'B16-TDA2,DA10'!K11</f>
        <v>92</v>
      </c>
      <c r="BB43" s="621"/>
      <c r="BC43" s="621">
        <f t="shared" si="31"/>
        <v>257</v>
      </c>
      <c r="BD43" s="621">
        <f>'B17-TDA3,DA10'!D106</f>
        <v>243</v>
      </c>
      <c r="BE43" s="621">
        <f>'B17-TDA3,DA10'!E106</f>
        <v>14</v>
      </c>
      <c r="BF43" s="319">
        <f>'B17-TDA3,DA10'!F106</f>
        <v>0</v>
      </c>
      <c r="BG43" s="319">
        <f>'B17-TDA3,DA10'!G106</f>
        <v>0</v>
      </c>
      <c r="BH43" s="319">
        <f>'B17-TDA3,DA10'!H106</f>
        <v>0</v>
      </c>
      <c r="BI43" s="319">
        <f>'B17-TDA3,DA10'!I106</f>
        <v>0</v>
      </c>
      <c r="BJ43" s="319">
        <f>'B17-TDA3,DA10'!J106</f>
        <v>0</v>
      </c>
      <c r="BK43" s="319">
        <f>'B17-TDA3,DA10'!K106</f>
        <v>0</v>
      </c>
      <c r="BL43" s="319">
        <f>'B17-TDA3,DA10'!L106</f>
        <v>0</v>
      </c>
      <c r="BM43" s="319">
        <f>'B17-TDA3,DA10'!M106</f>
        <v>0</v>
      </c>
      <c r="BN43" s="319">
        <f>'B17-TDA3,DA10'!N106</f>
        <v>0</v>
      </c>
      <c r="BO43" s="319">
        <f>'B17-TDA3,DA10'!O106</f>
        <v>0</v>
      </c>
      <c r="BQ43" s="317" t="e">
        <f>#REF!+P43+V43+#REF!+#REF!+BE43</f>
        <v>#REF!</v>
      </c>
      <c r="BR43" s="317">
        <f t="shared" si="2"/>
        <v>233</v>
      </c>
    </row>
    <row r="44" spans="1:70" ht="22.5" customHeight="1" x14ac:dyDescent="0.25">
      <c r="A44" s="318">
        <v>6</v>
      </c>
      <c r="B44" s="719" t="s">
        <v>43</v>
      </c>
      <c r="C44" s="621">
        <f t="shared" si="9"/>
        <v>52391</v>
      </c>
      <c r="D44" s="622">
        <f t="shared" si="10"/>
        <v>50499</v>
      </c>
      <c r="E44" s="622">
        <f t="shared" si="11"/>
        <v>1892</v>
      </c>
      <c r="F44" s="622">
        <f t="shared" si="12"/>
        <v>2019</v>
      </c>
      <c r="G44" s="621">
        <f t="shared" si="13"/>
        <v>401</v>
      </c>
      <c r="H44" s="623">
        <f>'B3-DA1'!J14</f>
        <v>382</v>
      </c>
      <c r="I44" s="623">
        <f>'B3-DA1'!J17</f>
        <v>19</v>
      </c>
      <c r="J44" s="621">
        <f t="shared" si="14"/>
        <v>1618</v>
      </c>
      <c r="K44" s="623">
        <f>'B3-DA1'!J15</f>
        <v>1541</v>
      </c>
      <c r="L44" s="623">
        <f>'B3-DA1'!J18</f>
        <v>77</v>
      </c>
      <c r="M44" s="621">
        <f t="shared" si="15"/>
        <v>33216</v>
      </c>
      <c r="N44" s="621">
        <f t="shared" si="16"/>
        <v>24396</v>
      </c>
      <c r="O44" s="621">
        <f>'B4-TDA1,DA3'!J20</f>
        <v>24396</v>
      </c>
      <c r="P44" s="621"/>
      <c r="Q44" s="621">
        <f t="shared" si="17"/>
        <v>8820</v>
      </c>
      <c r="R44" s="621">
        <f>'B5-TDA2,DA3'!K17+'B5-TDA2,DA3'!T17</f>
        <v>7951</v>
      </c>
      <c r="S44" s="621">
        <f>'B5-TDA2,DA3'!K18+'B5-TDA2,DA3'!T18</f>
        <v>869</v>
      </c>
      <c r="T44" s="621">
        <f t="shared" si="18"/>
        <v>2430</v>
      </c>
      <c r="U44" s="621">
        <f>'B6-DA4'!J19</f>
        <v>2314</v>
      </c>
      <c r="V44" s="621">
        <f>'B6-DA4'!J21</f>
        <v>116</v>
      </c>
      <c r="W44" s="621">
        <f t="shared" si="19"/>
        <v>9782</v>
      </c>
      <c r="X44" s="621">
        <f t="shared" si="20"/>
        <v>3659</v>
      </c>
      <c r="Y44" s="621">
        <f>'B7-TDA1,DA5'!L16</f>
        <v>3383</v>
      </c>
      <c r="Z44" s="621">
        <f>'B7-TDA1,DA5'!L18</f>
        <v>276</v>
      </c>
      <c r="AA44" s="621">
        <f t="shared" si="21"/>
        <v>225</v>
      </c>
      <c r="AB44" s="621">
        <f>'B8-TDA2, DA5'!L9</f>
        <v>225</v>
      </c>
      <c r="AC44" s="621"/>
      <c r="AD44" s="621">
        <f t="shared" si="22"/>
        <v>3956</v>
      </c>
      <c r="AE44" s="621">
        <f>'B9-TDA3,DA5'!K9</f>
        <v>3657</v>
      </c>
      <c r="AF44" s="621">
        <f>'B9-TDA3,DA5'!K11</f>
        <v>299</v>
      </c>
      <c r="AG44" s="621">
        <f t="shared" si="23"/>
        <v>1942</v>
      </c>
      <c r="AH44" s="621">
        <f>'B10-TDA4,DA5'!K11</f>
        <v>1942</v>
      </c>
      <c r="AI44" s="621"/>
      <c r="AJ44" s="621">
        <f t="shared" si="24"/>
        <v>495</v>
      </c>
      <c r="AK44" s="621">
        <f>'B11-DA6'!L33</f>
        <v>471</v>
      </c>
      <c r="AL44" s="621">
        <f>'B11-DA6'!L35</f>
        <v>24</v>
      </c>
      <c r="AM44" s="621">
        <f t="shared" si="25"/>
        <v>0</v>
      </c>
      <c r="AN44" s="621"/>
      <c r="AO44" s="621"/>
      <c r="AP44" s="621">
        <f t="shared" si="26"/>
        <v>3142</v>
      </c>
      <c r="AQ44" s="621">
        <f>'B13-DA8'!K11</f>
        <v>2992</v>
      </c>
      <c r="AR44" s="621">
        <f>'B13-DA8'!K13</f>
        <v>150</v>
      </c>
      <c r="AS44" s="621">
        <f t="shared" si="27"/>
        <v>638</v>
      </c>
      <c r="AT44" s="621">
        <f>'B14-TDA2,DA9'!L17</f>
        <v>608</v>
      </c>
      <c r="AU44" s="621">
        <f>'B14-TDA2,DA9'!L19</f>
        <v>30</v>
      </c>
      <c r="AV44" s="621">
        <f t="shared" si="36"/>
        <v>669</v>
      </c>
      <c r="AW44" s="621">
        <f t="shared" si="29"/>
        <v>415</v>
      </c>
      <c r="AX44" s="621">
        <f>'B15-TDA1,DA10'!L9</f>
        <v>393</v>
      </c>
      <c r="AY44" s="621">
        <f>'B15-TDA1,DA10'!L11</f>
        <v>22</v>
      </c>
      <c r="AZ44" s="621">
        <f t="shared" si="35"/>
        <v>70</v>
      </c>
      <c r="BA44" s="621">
        <f>'B16-TDA2,DA10'!L11</f>
        <v>70</v>
      </c>
      <c r="BB44" s="621"/>
      <c r="BC44" s="621">
        <f t="shared" si="31"/>
        <v>184</v>
      </c>
      <c r="BD44" s="621">
        <f>'B17-TDA3,DA10'!D107</f>
        <v>174</v>
      </c>
      <c r="BE44" s="621">
        <f>'B17-TDA3,DA10'!E107</f>
        <v>10</v>
      </c>
      <c r="BF44" s="319">
        <f>'B17-TDA3,DA10'!F107</f>
        <v>0</v>
      </c>
      <c r="BG44" s="319">
        <f>'B17-TDA3,DA10'!G107</f>
        <v>0</v>
      </c>
      <c r="BH44" s="319">
        <f>'B17-TDA3,DA10'!H107</f>
        <v>0</v>
      </c>
      <c r="BI44" s="319">
        <f>'B17-TDA3,DA10'!I107</f>
        <v>0</v>
      </c>
      <c r="BJ44" s="319">
        <f>'B17-TDA3,DA10'!J107</f>
        <v>0</v>
      </c>
      <c r="BK44" s="319">
        <f>'B17-TDA3,DA10'!K107</f>
        <v>0</v>
      </c>
      <c r="BL44" s="319">
        <f>'B17-TDA3,DA10'!L107</f>
        <v>0</v>
      </c>
      <c r="BM44" s="319">
        <f>'B17-TDA3,DA10'!M107</f>
        <v>0</v>
      </c>
      <c r="BN44" s="319">
        <f>'B17-TDA3,DA10'!N107</f>
        <v>0</v>
      </c>
      <c r="BO44" s="319">
        <f>'B17-TDA3,DA10'!O107</f>
        <v>0</v>
      </c>
      <c r="BQ44" s="317" t="e">
        <f>#REF!+P44+V44+#REF!+#REF!+BE44</f>
        <v>#REF!</v>
      </c>
      <c r="BR44" s="317">
        <f t="shared" si="2"/>
        <v>169</v>
      </c>
    </row>
    <row r="45" spans="1:70" ht="22.5" customHeight="1" x14ac:dyDescent="0.25">
      <c r="A45" s="318">
        <v>7</v>
      </c>
      <c r="B45" s="719" t="s">
        <v>44</v>
      </c>
      <c r="C45" s="621">
        <f t="shared" si="9"/>
        <v>43459</v>
      </c>
      <c r="D45" s="622">
        <f t="shared" si="10"/>
        <v>40868</v>
      </c>
      <c r="E45" s="622">
        <f t="shared" si="11"/>
        <v>2591</v>
      </c>
      <c r="F45" s="622">
        <f t="shared" si="12"/>
        <v>749</v>
      </c>
      <c r="G45" s="621">
        <f t="shared" si="13"/>
        <v>516</v>
      </c>
      <c r="H45" s="623">
        <f>'B3-DA1'!K14</f>
        <v>491</v>
      </c>
      <c r="I45" s="623">
        <f>'B3-DA1'!K17</f>
        <v>25</v>
      </c>
      <c r="J45" s="621">
        <f t="shared" si="14"/>
        <v>233</v>
      </c>
      <c r="K45" s="623">
        <f>'B3-DA1'!K15</f>
        <v>222</v>
      </c>
      <c r="L45" s="623">
        <f>'B3-DA1'!K18</f>
        <v>11</v>
      </c>
      <c r="M45" s="621">
        <f t="shared" si="15"/>
        <v>24831</v>
      </c>
      <c r="N45" s="621">
        <f t="shared" si="16"/>
        <v>8094</v>
      </c>
      <c r="O45" s="621">
        <f>'B4-TDA1,DA3'!K20</f>
        <v>8094</v>
      </c>
      <c r="P45" s="621"/>
      <c r="Q45" s="621">
        <f t="shared" si="17"/>
        <v>16737</v>
      </c>
      <c r="R45" s="621">
        <f>'B5-TDA2,DA3'!L17+'B5-TDA2,DA3'!U17</f>
        <v>15089</v>
      </c>
      <c r="S45" s="621">
        <f>'B5-TDA2,DA3'!L18+'B5-TDA2,DA3'!U18</f>
        <v>1648</v>
      </c>
      <c r="T45" s="621">
        <f t="shared" si="18"/>
        <v>3099</v>
      </c>
      <c r="U45" s="621">
        <f>'B6-DA4'!K19</f>
        <v>2951</v>
      </c>
      <c r="V45" s="621">
        <f>'B6-DA4'!K21</f>
        <v>148</v>
      </c>
      <c r="W45" s="621">
        <f t="shared" si="19"/>
        <v>8860</v>
      </c>
      <c r="X45" s="621">
        <f t="shared" si="20"/>
        <v>2355</v>
      </c>
      <c r="Y45" s="621">
        <f>'B7-TDA1,DA5'!M16</f>
        <v>2177</v>
      </c>
      <c r="Z45" s="621">
        <f>'B7-TDA1,DA5'!M18</f>
        <v>178</v>
      </c>
      <c r="AA45" s="621">
        <f t="shared" si="21"/>
        <v>337</v>
      </c>
      <c r="AB45" s="621">
        <f>'B8-TDA2, DA5'!M9</f>
        <v>337</v>
      </c>
      <c r="AC45" s="621"/>
      <c r="AD45" s="621">
        <f t="shared" si="22"/>
        <v>3954</v>
      </c>
      <c r="AE45" s="621">
        <f>'B9-TDA3,DA5'!L9</f>
        <v>3656</v>
      </c>
      <c r="AF45" s="621">
        <f>'B9-TDA3,DA5'!L11</f>
        <v>298</v>
      </c>
      <c r="AG45" s="621">
        <f t="shared" si="23"/>
        <v>2214</v>
      </c>
      <c r="AH45" s="621">
        <f>'B10-TDA4,DA5'!L11</f>
        <v>2214</v>
      </c>
      <c r="AI45" s="621"/>
      <c r="AJ45" s="621">
        <f t="shared" si="24"/>
        <v>537</v>
      </c>
      <c r="AK45" s="621">
        <f>'B11-DA6'!M33</f>
        <v>511</v>
      </c>
      <c r="AL45" s="621">
        <f>'B11-DA6'!M35</f>
        <v>26</v>
      </c>
      <c r="AM45" s="621">
        <f t="shared" si="25"/>
        <v>0</v>
      </c>
      <c r="AN45" s="621"/>
      <c r="AO45" s="621"/>
      <c r="AP45" s="621">
        <f t="shared" si="26"/>
        <v>4020</v>
      </c>
      <c r="AQ45" s="621">
        <f>'B13-DA8'!L11</f>
        <v>3829</v>
      </c>
      <c r="AR45" s="621">
        <f>'B13-DA8'!L13</f>
        <v>191</v>
      </c>
      <c r="AS45" s="621">
        <f t="shared" si="27"/>
        <v>467</v>
      </c>
      <c r="AT45" s="621">
        <f>'B14-TDA2,DA9'!M17</f>
        <v>445</v>
      </c>
      <c r="AU45" s="621">
        <f>'B14-TDA2,DA9'!M19</f>
        <v>22</v>
      </c>
      <c r="AV45" s="621">
        <f t="shared" si="36"/>
        <v>896</v>
      </c>
      <c r="AW45" s="621">
        <f t="shared" si="29"/>
        <v>623</v>
      </c>
      <c r="AX45" s="621">
        <f>'B15-TDA1,DA10'!M9</f>
        <v>590</v>
      </c>
      <c r="AY45" s="621">
        <f>'B15-TDA1,DA10'!M11</f>
        <v>33</v>
      </c>
      <c r="AZ45" s="621">
        <f t="shared" si="35"/>
        <v>71</v>
      </c>
      <c r="BA45" s="621">
        <f>'B16-TDA2,DA10'!M11</f>
        <v>71</v>
      </c>
      <c r="BB45" s="621"/>
      <c r="BC45" s="621">
        <f t="shared" si="31"/>
        <v>202</v>
      </c>
      <c r="BD45" s="621">
        <f>'B17-TDA3,DA10'!D108</f>
        <v>191</v>
      </c>
      <c r="BE45" s="621">
        <f>'B17-TDA3,DA10'!E108</f>
        <v>11</v>
      </c>
      <c r="BF45" s="319">
        <f>'B17-TDA3,DA10'!F108</f>
        <v>0</v>
      </c>
      <c r="BG45" s="319">
        <f>'B17-TDA3,DA10'!G108</f>
        <v>0</v>
      </c>
      <c r="BH45" s="319">
        <f>'B17-TDA3,DA10'!H108</f>
        <v>0</v>
      </c>
      <c r="BI45" s="319">
        <f>'B17-TDA3,DA10'!I108</f>
        <v>0</v>
      </c>
      <c r="BJ45" s="319">
        <f>'B17-TDA3,DA10'!J108</f>
        <v>0</v>
      </c>
      <c r="BK45" s="319">
        <f>'B17-TDA3,DA10'!K108</f>
        <v>0</v>
      </c>
      <c r="BL45" s="319">
        <f>'B17-TDA3,DA10'!L108</f>
        <v>0</v>
      </c>
      <c r="BM45" s="319">
        <f>'B17-TDA3,DA10'!M108</f>
        <v>0</v>
      </c>
      <c r="BN45" s="319">
        <f>'B17-TDA3,DA10'!N108</f>
        <v>0</v>
      </c>
      <c r="BO45" s="319">
        <f>'B17-TDA3,DA10'!O108</f>
        <v>0</v>
      </c>
      <c r="BQ45" s="317" t="e">
        <f>#REF!+P45+V45+#REF!+#REF!+BE45</f>
        <v>#REF!</v>
      </c>
      <c r="BR45" s="317">
        <f t="shared" si="2"/>
        <v>216</v>
      </c>
    </row>
    <row r="46" spans="1:70" ht="22.5" customHeight="1" x14ac:dyDescent="0.25">
      <c r="A46" s="321">
        <v>8</v>
      </c>
      <c r="B46" s="721" t="s">
        <v>45</v>
      </c>
      <c r="C46" s="624">
        <f t="shared" si="9"/>
        <v>4878</v>
      </c>
      <c r="D46" s="625">
        <f t="shared" si="10"/>
        <v>4537</v>
      </c>
      <c r="E46" s="625">
        <f t="shared" si="11"/>
        <v>341</v>
      </c>
      <c r="F46" s="625">
        <f t="shared" si="12"/>
        <v>7</v>
      </c>
      <c r="G46" s="624">
        <f t="shared" si="13"/>
        <v>0</v>
      </c>
      <c r="H46" s="626">
        <f>'B3-DA1'!L14</f>
        <v>0</v>
      </c>
      <c r="I46" s="626">
        <f>'B3-DA1'!L17</f>
        <v>0</v>
      </c>
      <c r="J46" s="624">
        <f t="shared" si="14"/>
        <v>7</v>
      </c>
      <c r="K46" s="626">
        <f>'B3-DA1'!L15</f>
        <v>7</v>
      </c>
      <c r="L46" s="626">
        <f>'B3-DA1'!L18</f>
        <v>0</v>
      </c>
      <c r="M46" s="624">
        <f t="shared" si="15"/>
        <v>123</v>
      </c>
      <c r="N46" s="624">
        <f t="shared" si="16"/>
        <v>0</v>
      </c>
      <c r="O46" s="624"/>
      <c r="P46" s="624"/>
      <c r="Q46" s="624">
        <f t="shared" si="17"/>
        <v>123</v>
      </c>
      <c r="R46" s="624">
        <f>'B5-TDA2,DA3'!V17</f>
        <v>111</v>
      </c>
      <c r="S46" s="624">
        <f>'B5-TDA2,DA3'!V18</f>
        <v>12</v>
      </c>
      <c r="T46" s="624">
        <f t="shared" si="18"/>
        <v>48</v>
      </c>
      <c r="U46" s="624">
        <f>'B6-DA4'!L19</f>
        <v>46</v>
      </c>
      <c r="V46" s="624">
        <f>'B6-DA4'!L21</f>
        <v>2</v>
      </c>
      <c r="W46" s="624">
        <f t="shared" si="19"/>
        <v>4153</v>
      </c>
      <c r="X46" s="624">
        <f t="shared" si="20"/>
        <v>0</v>
      </c>
      <c r="Y46" s="624">
        <f>'B7-TDA1,DA5'!N16</f>
        <v>0</v>
      </c>
      <c r="Z46" s="624">
        <f>'B7-TDA1,DA5'!N18</f>
        <v>0</v>
      </c>
      <c r="AA46" s="624">
        <f t="shared" si="21"/>
        <v>180</v>
      </c>
      <c r="AB46" s="624">
        <f>'B8-TDA2, DA5'!N9</f>
        <v>180</v>
      </c>
      <c r="AC46" s="624"/>
      <c r="AD46" s="624">
        <f t="shared" si="22"/>
        <v>3954</v>
      </c>
      <c r="AE46" s="624">
        <f>'B9-TDA3,DA5'!M9</f>
        <v>3656</v>
      </c>
      <c r="AF46" s="624">
        <f>'B9-TDA3,DA5'!M11</f>
        <v>298</v>
      </c>
      <c r="AG46" s="624">
        <f t="shared" si="23"/>
        <v>19</v>
      </c>
      <c r="AH46" s="624">
        <f>'B10-TDA4,DA5'!M11</f>
        <v>19</v>
      </c>
      <c r="AI46" s="624"/>
      <c r="AJ46" s="624">
        <f t="shared" si="24"/>
        <v>58</v>
      </c>
      <c r="AK46" s="624">
        <f>'B11-DA6'!N33</f>
        <v>55</v>
      </c>
      <c r="AL46" s="624">
        <f>'B11-DA6'!N35</f>
        <v>3</v>
      </c>
      <c r="AM46" s="624">
        <f t="shared" si="25"/>
        <v>0</v>
      </c>
      <c r="AN46" s="624"/>
      <c r="AO46" s="624"/>
      <c r="AP46" s="624">
        <f t="shared" si="26"/>
        <v>63</v>
      </c>
      <c r="AQ46" s="624">
        <f>'B13-DA8'!M11</f>
        <v>60</v>
      </c>
      <c r="AR46" s="624">
        <f>'B13-DA8'!M13</f>
        <v>3</v>
      </c>
      <c r="AS46" s="624">
        <f t="shared" si="27"/>
        <v>64</v>
      </c>
      <c r="AT46" s="624">
        <f>'B14-TDA2,DA9'!N17</f>
        <v>61</v>
      </c>
      <c r="AU46" s="624">
        <f>'B14-TDA2,DA9'!N19</f>
        <v>3</v>
      </c>
      <c r="AV46" s="624">
        <f t="shared" si="36"/>
        <v>362</v>
      </c>
      <c r="AW46" s="624">
        <f t="shared" si="29"/>
        <v>332</v>
      </c>
      <c r="AX46" s="624">
        <f>'B15-TDA1,DA10'!N9</f>
        <v>314</v>
      </c>
      <c r="AY46" s="624">
        <f>'B15-TDA1,DA10'!N11</f>
        <v>18</v>
      </c>
      <c r="AZ46" s="624">
        <f t="shared" si="35"/>
        <v>0</v>
      </c>
      <c r="BA46" s="624">
        <f>'B16-TDA2,DA10'!N11</f>
        <v>0</v>
      </c>
      <c r="BB46" s="624"/>
      <c r="BC46" s="624">
        <f t="shared" si="31"/>
        <v>30</v>
      </c>
      <c r="BD46" s="624">
        <f>'B17-TDA3,DA10'!D109</f>
        <v>28</v>
      </c>
      <c r="BE46" s="624">
        <f>'B17-TDA3,DA10'!E109</f>
        <v>2</v>
      </c>
      <c r="BF46" s="322">
        <f>'B17-TDA3,DA10'!F109</f>
        <v>0</v>
      </c>
      <c r="BG46" s="322">
        <f>'B17-TDA3,DA10'!G109</f>
        <v>0</v>
      </c>
      <c r="BH46" s="322">
        <f>'B17-TDA3,DA10'!H109</f>
        <v>0</v>
      </c>
      <c r="BI46" s="322">
        <f>'B17-TDA3,DA10'!I109</f>
        <v>0</v>
      </c>
      <c r="BJ46" s="322">
        <f>'B17-TDA3,DA10'!J109</f>
        <v>0</v>
      </c>
      <c r="BK46" s="322">
        <f>'B17-TDA3,DA10'!K109</f>
        <v>0</v>
      </c>
      <c r="BL46" s="322">
        <f>'B17-TDA3,DA10'!L109</f>
        <v>0</v>
      </c>
      <c r="BM46" s="322">
        <f>'B17-TDA3,DA10'!M109</f>
        <v>0</v>
      </c>
      <c r="BN46" s="322">
        <f>'B17-TDA3,DA10'!N109</f>
        <v>0</v>
      </c>
      <c r="BO46" s="322">
        <f>'B17-TDA3,DA10'!O109</f>
        <v>0</v>
      </c>
      <c r="BQ46" s="317" t="e">
        <f>#REF!+P46+V46+#REF!+#REF!+BE46</f>
        <v>#REF!</v>
      </c>
      <c r="BR46" s="317">
        <f t="shared" si="2"/>
        <v>3</v>
      </c>
    </row>
    <row r="48" spans="1:70" x14ac:dyDescent="0.25">
      <c r="AM48" s="317"/>
      <c r="AN48" s="317"/>
      <c r="AO48" s="317"/>
    </row>
    <row r="49" spans="20:57" x14ac:dyDescent="0.25">
      <c r="T49" s="317"/>
      <c r="U49" s="317"/>
      <c r="V49" s="317"/>
      <c r="W49" s="323"/>
      <c r="X49" s="93"/>
      <c r="Y49" s="93"/>
      <c r="Z49" s="93"/>
      <c r="AA49" s="324"/>
      <c r="AB49" s="317"/>
      <c r="AC49" s="317"/>
      <c r="AD49" s="324"/>
      <c r="AE49" s="317"/>
      <c r="AF49" s="317"/>
      <c r="AM49" s="317"/>
      <c r="AN49" s="317"/>
      <c r="AO49" s="317"/>
      <c r="AW49" s="93"/>
      <c r="AX49" s="93"/>
      <c r="AY49" s="93"/>
      <c r="AZ49" s="93"/>
      <c r="BA49" s="93"/>
      <c r="BB49" s="93"/>
      <c r="BC49" s="93"/>
      <c r="BD49" s="93"/>
      <c r="BE49" s="93"/>
    </row>
    <row r="50" spans="20:57" x14ac:dyDescent="0.25">
      <c r="T50" s="317"/>
      <c r="U50" s="317"/>
      <c r="V50" s="317"/>
      <c r="W50" s="323"/>
      <c r="X50" s="317"/>
      <c r="Y50" s="317"/>
      <c r="Z50" s="317"/>
      <c r="AA50" s="324"/>
      <c r="AB50" s="317"/>
      <c r="AC50" s="317"/>
      <c r="AD50" s="324"/>
      <c r="AE50" s="317"/>
      <c r="AF50" s="317"/>
      <c r="AM50" s="317"/>
      <c r="AN50" s="317"/>
      <c r="AO50" s="317"/>
      <c r="AW50" s="317"/>
      <c r="AX50" s="317"/>
      <c r="AY50" s="317"/>
      <c r="AZ50" s="317"/>
      <c r="BA50" s="317"/>
      <c r="BB50" s="317"/>
      <c r="BC50" s="317"/>
      <c r="BD50" s="317"/>
      <c r="BE50" s="317"/>
    </row>
    <row r="51" spans="20:57" x14ac:dyDescent="0.25">
      <c r="T51" s="317"/>
      <c r="U51" s="317"/>
      <c r="V51" s="317"/>
      <c r="W51" s="323"/>
      <c r="X51" s="317"/>
      <c r="Y51" s="317"/>
      <c r="Z51" s="317"/>
      <c r="AA51" s="324"/>
      <c r="AB51" s="317"/>
      <c r="AC51" s="317"/>
      <c r="AD51" s="324"/>
      <c r="AE51" s="317"/>
      <c r="AF51" s="317"/>
      <c r="AM51" s="317"/>
      <c r="AN51" s="317"/>
      <c r="AO51" s="317"/>
      <c r="AW51" s="317"/>
      <c r="AX51" s="317"/>
      <c r="AY51" s="317"/>
      <c r="AZ51" s="317"/>
      <c r="BA51" s="317"/>
      <c r="BB51" s="317"/>
      <c r="BC51" s="317"/>
      <c r="BD51" s="317"/>
      <c r="BE51" s="317"/>
    </row>
    <row r="52" spans="20:57" x14ac:dyDescent="0.25">
      <c r="T52" s="317"/>
      <c r="U52" s="317"/>
      <c r="V52" s="317"/>
      <c r="W52" s="323"/>
      <c r="X52" s="317"/>
      <c r="Y52" s="317"/>
      <c r="Z52" s="317"/>
      <c r="AA52" s="324"/>
      <c r="AB52" s="317"/>
      <c r="AC52" s="317"/>
      <c r="AD52" s="324"/>
      <c r="AE52" s="317"/>
      <c r="AF52" s="317"/>
      <c r="AM52" s="317"/>
      <c r="AN52" s="317"/>
      <c r="AO52" s="317"/>
      <c r="AW52" s="317"/>
      <c r="AX52" s="317"/>
      <c r="AY52" s="317"/>
      <c r="AZ52" s="317"/>
      <c r="BA52" s="317"/>
      <c r="BB52" s="317"/>
      <c r="BC52" s="317"/>
      <c r="BD52" s="317"/>
      <c r="BE52" s="317"/>
    </row>
  </sheetData>
  <mergeCells count="88">
    <mergeCell ref="A6:A10"/>
    <mergeCell ref="B6:B10"/>
    <mergeCell ref="M6:S6"/>
    <mergeCell ref="AV6:BE6"/>
    <mergeCell ref="M8:M10"/>
    <mergeCell ref="W8:W10"/>
    <mergeCell ref="T6:V6"/>
    <mergeCell ref="W6:AI6"/>
    <mergeCell ref="AJ6:AL6"/>
    <mergeCell ref="AM6:AO6"/>
    <mergeCell ref="Q8:S8"/>
    <mergeCell ref="T8:T10"/>
    <mergeCell ref="U8:V8"/>
    <mergeCell ref="X8:Z8"/>
    <mergeCell ref="F6:L6"/>
    <mergeCell ref="BC7:BE7"/>
    <mergeCell ref="AY5:BE5"/>
    <mergeCell ref="O9:P9"/>
    <mergeCell ref="Q9:Q10"/>
    <mergeCell ref="R9:S9"/>
    <mergeCell ref="U9:V9"/>
    <mergeCell ref="X9:X10"/>
    <mergeCell ref="AG8:AI8"/>
    <mergeCell ref="AW8:AY8"/>
    <mergeCell ref="BC8:BE8"/>
    <mergeCell ref="AD8:AF8"/>
    <mergeCell ref="Y9:Z9"/>
    <mergeCell ref="AD9:AD10"/>
    <mergeCell ref="AH9:AI9"/>
    <mergeCell ref="N8:P8"/>
    <mergeCell ref="N9:N10"/>
    <mergeCell ref="AP6:AR6"/>
    <mergeCell ref="BL11:BM11"/>
    <mergeCell ref="BN11:BO11"/>
    <mergeCell ref="BD9:BE9"/>
    <mergeCell ref="BF11:BG11"/>
    <mergeCell ref="BH11:BI11"/>
    <mergeCell ref="BJ11:BK11"/>
    <mergeCell ref="BC9:BC10"/>
    <mergeCell ref="AY1:BE1"/>
    <mergeCell ref="C9:C10"/>
    <mergeCell ref="D9:E9"/>
    <mergeCell ref="C6:E8"/>
    <mergeCell ref="F8:F10"/>
    <mergeCell ref="H9:I9"/>
    <mergeCell ref="AA8:AC8"/>
    <mergeCell ref="AA9:AA10"/>
    <mergeCell ref="AB9:AC9"/>
    <mergeCell ref="AJ8:AJ10"/>
    <mergeCell ref="AK8:AL9"/>
    <mergeCell ref="AM8:AM10"/>
    <mergeCell ref="AN8:AO9"/>
    <mergeCell ref="AP8:AP10"/>
    <mergeCell ref="AS6:AU6"/>
    <mergeCell ref="AZ8:BB8"/>
    <mergeCell ref="AZ9:AZ10"/>
    <mergeCell ref="BA9:BB9"/>
    <mergeCell ref="F7:L7"/>
    <mergeCell ref="M7:S7"/>
    <mergeCell ref="T7:V7"/>
    <mergeCell ref="AE9:AF9"/>
    <mergeCell ref="AG9:AG10"/>
    <mergeCell ref="AS8:AS10"/>
    <mergeCell ref="AQ8:AR9"/>
    <mergeCell ref="AT8:AU8"/>
    <mergeCell ref="AT9:AU9"/>
    <mergeCell ref="AW9:AW10"/>
    <mergeCell ref="AX9:AY9"/>
    <mergeCell ref="AV7:AV10"/>
    <mergeCell ref="AW7:BB7"/>
    <mergeCell ref="G8:I8"/>
    <mergeCell ref="G9:G10"/>
    <mergeCell ref="J8:L8"/>
    <mergeCell ref="J9:J10"/>
    <mergeCell ref="K9:L9"/>
    <mergeCell ref="W7:AI7"/>
    <mergeCell ref="AJ7:AL7"/>
    <mergeCell ref="AM7:AO7"/>
    <mergeCell ref="AP7:AR7"/>
    <mergeCell ref="AS7:AU7"/>
    <mergeCell ref="AM2:BE2"/>
    <mergeCell ref="AM3:BE3"/>
    <mergeCell ref="AI1:AL1"/>
    <mergeCell ref="P1:S1"/>
    <mergeCell ref="C2:S2"/>
    <mergeCell ref="C3:S3"/>
    <mergeCell ref="T2:AL2"/>
    <mergeCell ref="T3:AL3"/>
  </mergeCells>
  <pageMargins left="0.31496062992125984" right="0.31496062992125984" top="0.74803149606299213" bottom="0.74803149606299213" header="0.31496062992125984" footer="0.31496062992125984"/>
  <pageSetup paperSize="9" scale="48" firstPageNumber="159" fitToHeight="0" orientation="portrait" useFirstPageNumber="1" r:id="rId1"/>
  <headerFooter>
    <oddHeader>&amp;C&amp;P</oddHeader>
  </headerFooter>
  <colBreaks count="2" manualBreakCount="2">
    <brk id="19" max="1048575" man="1"/>
    <brk id="3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V30"/>
  <sheetViews>
    <sheetView view="pageLayout" zoomScale="85" zoomScaleNormal="85" zoomScalePageLayoutView="85" workbookViewId="0">
      <selection activeCell="I1" sqref="I1:L1"/>
    </sheetView>
  </sheetViews>
  <sheetFormatPr defaultColWidth="7.75" defaultRowHeight="18.75" x14ac:dyDescent="0.25"/>
  <cols>
    <col min="1" max="1" width="6.75" style="8" customWidth="1"/>
    <col min="2" max="2" width="47.125" style="79" customWidth="1"/>
    <col min="3" max="3" width="12.5" style="8" customWidth="1"/>
    <col min="4" max="4" width="13.375" style="79" customWidth="1"/>
    <col min="5" max="7" width="13.375" style="85" customWidth="1"/>
    <col min="8" max="10" width="13.375" style="79" customWidth="1"/>
    <col min="11" max="11" width="13.375" style="85" customWidth="1"/>
    <col min="12" max="12" width="13.375" style="79" customWidth="1"/>
    <col min="13" max="13" width="13.875" style="79" customWidth="1"/>
    <col min="14" max="14" width="9.25" style="79" bestFit="1" customWidth="1"/>
    <col min="15" max="16384" width="7.75" style="79"/>
  </cols>
  <sheetData>
    <row r="1" spans="1:256" s="78" customFormat="1" ht="34.5" customHeight="1" x14ac:dyDescent="0.25">
      <c r="A1" s="4"/>
      <c r="B1" s="4"/>
      <c r="C1" s="5"/>
      <c r="D1" s="5"/>
      <c r="E1" s="5"/>
      <c r="F1" s="5"/>
      <c r="G1" s="5"/>
      <c r="H1" s="5"/>
      <c r="I1" s="787" t="s">
        <v>610</v>
      </c>
      <c r="J1" s="788"/>
      <c r="K1" s="788"/>
      <c r="L1" s="788"/>
      <c r="M1" s="786"/>
      <c r="N1" s="786"/>
      <c r="O1" s="15"/>
      <c r="P1" s="15"/>
      <c r="Q1" s="15"/>
      <c r="R1" s="15"/>
      <c r="S1" s="15"/>
      <c r="T1" s="15"/>
      <c r="U1" s="15"/>
      <c r="V1" s="15"/>
      <c r="W1" s="15"/>
      <c r="X1" s="15"/>
    </row>
    <row r="2" spans="1:256" s="78" customFormat="1" ht="21.75" customHeight="1" x14ac:dyDescent="0.25">
      <c r="A2" s="760" t="s">
        <v>58</v>
      </c>
      <c r="B2" s="760"/>
      <c r="C2" s="760"/>
      <c r="D2" s="760"/>
      <c r="E2" s="760"/>
      <c r="F2" s="760"/>
      <c r="G2" s="760"/>
      <c r="H2" s="760"/>
      <c r="I2" s="760"/>
      <c r="J2" s="760"/>
      <c r="K2" s="760"/>
      <c r="L2" s="760"/>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785"/>
      <c r="BK2" s="785"/>
      <c r="BL2" s="785"/>
      <c r="BM2" s="785"/>
      <c r="BN2" s="785"/>
      <c r="BO2" s="785"/>
      <c r="BP2" s="785"/>
      <c r="BQ2" s="785"/>
      <c r="BR2" s="785"/>
      <c r="BS2" s="785"/>
      <c r="BT2" s="785"/>
      <c r="BU2" s="785"/>
      <c r="BV2" s="785"/>
      <c r="BW2" s="785"/>
      <c r="BX2" s="785"/>
      <c r="BY2" s="785"/>
      <c r="BZ2" s="785"/>
      <c r="CA2" s="785"/>
      <c r="CB2" s="785"/>
      <c r="CC2" s="785"/>
      <c r="CD2" s="785"/>
      <c r="CE2" s="785"/>
      <c r="CF2" s="785"/>
      <c r="CG2" s="785"/>
      <c r="CH2" s="785"/>
      <c r="CI2" s="785"/>
      <c r="CJ2" s="785"/>
      <c r="CK2" s="785"/>
      <c r="CL2" s="785"/>
      <c r="CM2" s="785"/>
      <c r="CN2" s="785"/>
      <c r="CO2" s="785"/>
      <c r="CP2" s="785"/>
      <c r="CQ2" s="785"/>
      <c r="CR2" s="785"/>
      <c r="CS2" s="785"/>
      <c r="CT2" s="785"/>
      <c r="CU2" s="785"/>
      <c r="CV2" s="785"/>
      <c r="CW2" s="785"/>
      <c r="CX2" s="785"/>
      <c r="CY2" s="785"/>
      <c r="CZ2" s="785"/>
      <c r="DA2" s="785"/>
      <c r="DB2" s="785"/>
      <c r="DC2" s="785"/>
      <c r="DD2" s="785"/>
      <c r="DE2" s="785"/>
      <c r="DF2" s="785"/>
      <c r="DG2" s="785"/>
      <c r="DH2" s="785"/>
      <c r="DI2" s="785"/>
      <c r="DJ2" s="785"/>
      <c r="DK2" s="785"/>
      <c r="DL2" s="785"/>
      <c r="DM2" s="785"/>
      <c r="DN2" s="785"/>
      <c r="DO2" s="785"/>
      <c r="DP2" s="785"/>
      <c r="DQ2" s="785"/>
      <c r="DR2" s="785"/>
      <c r="DS2" s="785"/>
      <c r="DT2" s="785"/>
      <c r="DU2" s="785"/>
      <c r="DV2" s="785"/>
      <c r="DW2" s="785"/>
      <c r="DX2" s="785"/>
      <c r="DY2" s="785"/>
      <c r="DZ2" s="785"/>
      <c r="EA2" s="785"/>
      <c r="EB2" s="785"/>
      <c r="EC2" s="785"/>
      <c r="ED2" s="785"/>
      <c r="EE2" s="785"/>
      <c r="EF2" s="785"/>
      <c r="EG2" s="785"/>
      <c r="EH2" s="785"/>
      <c r="EI2" s="785"/>
      <c r="EJ2" s="785"/>
      <c r="EK2" s="785"/>
      <c r="EL2" s="785"/>
      <c r="EM2" s="785"/>
      <c r="EN2" s="785"/>
      <c r="EO2" s="785"/>
      <c r="EP2" s="785"/>
      <c r="EQ2" s="785"/>
      <c r="ER2" s="785"/>
      <c r="ES2" s="785"/>
      <c r="ET2" s="785"/>
      <c r="EU2" s="785"/>
      <c r="EV2" s="785"/>
      <c r="EW2" s="785"/>
      <c r="EX2" s="785"/>
      <c r="EY2" s="785"/>
      <c r="EZ2" s="785"/>
      <c r="FA2" s="785"/>
      <c r="FB2" s="785"/>
      <c r="FC2" s="785"/>
      <c r="FD2" s="785"/>
      <c r="FE2" s="785"/>
      <c r="FF2" s="785"/>
      <c r="FG2" s="785"/>
      <c r="FH2" s="785"/>
      <c r="FI2" s="785"/>
      <c r="FJ2" s="785"/>
      <c r="FK2" s="785"/>
      <c r="FL2" s="785"/>
      <c r="FM2" s="785"/>
      <c r="FN2" s="785"/>
      <c r="FO2" s="785"/>
      <c r="FP2" s="785"/>
      <c r="FQ2" s="785"/>
      <c r="FR2" s="785"/>
      <c r="FS2" s="785"/>
      <c r="FT2" s="785"/>
      <c r="FU2" s="785"/>
      <c r="FV2" s="785"/>
      <c r="FW2" s="785"/>
      <c r="FX2" s="785"/>
      <c r="FY2" s="785"/>
      <c r="FZ2" s="785"/>
      <c r="GA2" s="785"/>
      <c r="GB2" s="785"/>
      <c r="GC2" s="785"/>
      <c r="GD2" s="785"/>
      <c r="GE2" s="785"/>
      <c r="GF2" s="785"/>
      <c r="GG2" s="785"/>
      <c r="GH2" s="785"/>
      <c r="GI2" s="785"/>
      <c r="GJ2" s="785"/>
      <c r="GK2" s="785"/>
      <c r="GL2" s="785"/>
      <c r="GM2" s="785"/>
      <c r="GN2" s="785"/>
      <c r="GO2" s="785"/>
      <c r="GP2" s="785"/>
      <c r="GQ2" s="785"/>
      <c r="GR2" s="785"/>
      <c r="GS2" s="785"/>
      <c r="GT2" s="785"/>
      <c r="GU2" s="785"/>
      <c r="GV2" s="785"/>
      <c r="GW2" s="785"/>
      <c r="GX2" s="785"/>
      <c r="GY2" s="785"/>
      <c r="GZ2" s="785"/>
      <c r="HA2" s="785"/>
      <c r="HB2" s="785"/>
      <c r="HC2" s="785"/>
      <c r="HD2" s="785"/>
      <c r="HE2" s="785"/>
      <c r="HF2" s="785"/>
      <c r="HG2" s="785"/>
      <c r="HH2" s="785"/>
      <c r="HI2" s="785"/>
      <c r="HJ2" s="785"/>
      <c r="HK2" s="785"/>
      <c r="HL2" s="785"/>
      <c r="HM2" s="785"/>
      <c r="HN2" s="785"/>
      <c r="HO2" s="785"/>
      <c r="HP2" s="785"/>
      <c r="HQ2" s="785"/>
      <c r="HR2" s="785"/>
      <c r="HS2" s="785"/>
      <c r="HT2" s="785"/>
      <c r="HU2" s="785"/>
      <c r="HV2" s="785"/>
      <c r="HW2" s="785"/>
      <c r="HX2" s="785"/>
      <c r="HY2" s="785"/>
      <c r="HZ2" s="785"/>
      <c r="IA2" s="785"/>
      <c r="IB2" s="785"/>
      <c r="IC2" s="785"/>
      <c r="ID2" s="785"/>
      <c r="IE2" s="785"/>
      <c r="IF2" s="785"/>
      <c r="IG2" s="785"/>
      <c r="IH2" s="785"/>
      <c r="II2" s="785"/>
      <c r="IJ2" s="785"/>
      <c r="IK2" s="785"/>
      <c r="IL2" s="785"/>
      <c r="IM2" s="785"/>
      <c r="IN2" s="785"/>
      <c r="IO2" s="785"/>
      <c r="IP2" s="785"/>
      <c r="IQ2" s="785"/>
      <c r="IR2" s="785"/>
      <c r="IS2" s="785"/>
      <c r="IT2" s="785"/>
      <c r="IU2" s="785"/>
      <c r="IV2" s="785"/>
    </row>
    <row r="3" spans="1:256" s="78" customFormat="1" ht="21.75" customHeight="1" x14ac:dyDescent="0.25">
      <c r="A3" s="760" t="s">
        <v>59</v>
      </c>
      <c r="B3" s="760"/>
      <c r="C3" s="760"/>
      <c r="D3" s="760"/>
      <c r="E3" s="760"/>
      <c r="F3" s="760"/>
      <c r="G3" s="760"/>
      <c r="H3" s="760"/>
      <c r="I3" s="760"/>
      <c r="J3" s="760"/>
      <c r="K3" s="760"/>
      <c r="L3" s="760"/>
      <c r="M3" s="9"/>
      <c r="N3" s="9"/>
      <c r="O3" s="15"/>
      <c r="P3" s="15"/>
      <c r="Q3" s="15"/>
      <c r="R3" s="15"/>
      <c r="S3" s="15"/>
      <c r="T3" s="15"/>
      <c r="U3" s="15"/>
      <c r="V3" s="15"/>
      <c r="W3" s="15"/>
      <c r="X3" s="15"/>
    </row>
    <row r="4" spans="1:256" s="78" customFormat="1" ht="21.75" customHeight="1" x14ac:dyDescent="0.25">
      <c r="A4" s="784" t="s">
        <v>607</v>
      </c>
      <c r="B4" s="784"/>
      <c r="C4" s="784"/>
      <c r="D4" s="784"/>
      <c r="E4" s="784"/>
      <c r="F4" s="784"/>
      <c r="G4" s="784"/>
      <c r="H4" s="784"/>
      <c r="I4" s="784"/>
      <c r="J4" s="784"/>
      <c r="K4" s="784"/>
      <c r="L4" s="784"/>
      <c r="M4" s="9"/>
      <c r="N4" s="9"/>
      <c r="O4" s="15"/>
      <c r="P4" s="15"/>
      <c r="Q4" s="15"/>
      <c r="R4" s="15"/>
      <c r="S4" s="15"/>
      <c r="T4" s="15"/>
      <c r="U4" s="15"/>
      <c r="V4" s="15"/>
      <c r="W4" s="15"/>
      <c r="X4" s="15"/>
    </row>
    <row r="5" spans="1:256" ht="24" customHeight="1" x14ac:dyDescent="0.25">
      <c r="A5" s="98"/>
      <c r="B5" s="99"/>
      <c r="C5" s="98"/>
      <c r="D5" s="99"/>
      <c r="E5" s="100"/>
      <c r="F5" s="100"/>
      <c r="G5" s="100"/>
      <c r="H5" s="100"/>
      <c r="I5" s="100"/>
      <c r="J5" s="783"/>
      <c r="K5" s="783"/>
      <c r="L5" s="783"/>
    </row>
    <row r="6" spans="1:256" s="7" customFormat="1" ht="50.25" customHeight="1" x14ac:dyDescent="0.25">
      <c r="A6" s="96" t="s">
        <v>1</v>
      </c>
      <c r="B6" s="96" t="s">
        <v>35</v>
      </c>
      <c r="C6" s="96" t="s">
        <v>36</v>
      </c>
      <c r="D6" s="96" t="s">
        <v>37</v>
      </c>
      <c r="E6" s="97" t="s">
        <v>38</v>
      </c>
      <c r="F6" s="97" t="s">
        <v>39</v>
      </c>
      <c r="G6" s="97" t="s">
        <v>40</v>
      </c>
      <c r="H6" s="96" t="s">
        <v>41</v>
      </c>
      <c r="I6" s="96" t="s">
        <v>42</v>
      </c>
      <c r="J6" s="96" t="s">
        <v>43</v>
      </c>
      <c r="K6" s="97" t="s">
        <v>44</v>
      </c>
      <c r="L6" s="96" t="s">
        <v>45</v>
      </c>
      <c r="M6" s="12" t="s">
        <v>262</v>
      </c>
      <c r="N6" s="12"/>
      <c r="O6" s="12"/>
      <c r="P6" s="12"/>
      <c r="Q6" s="12"/>
      <c r="R6" s="12"/>
      <c r="S6" s="12"/>
      <c r="T6" s="12"/>
      <c r="U6" s="12"/>
      <c r="V6" s="12"/>
      <c r="W6" s="12"/>
      <c r="X6" s="12"/>
    </row>
    <row r="7" spans="1:256" s="7" customFormat="1" ht="24" customHeight="1" x14ac:dyDescent="0.25">
      <c r="A7" s="101" t="s">
        <v>46</v>
      </c>
      <c r="B7" s="116" t="s">
        <v>47</v>
      </c>
      <c r="C7" s="101"/>
      <c r="D7" s="518"/>
      <c r="E7" s="519"/>
      <c r="F7" s="519"/>
      <c r="G7" s="519"/>
      <c r="H7" s="518"/>
      <c r="I7" s="518"/>
      <c r="J7" s="518"/>
      <c r="K7" s="519"/>
      <c r="L7" s="518"/>
      <c r="M7" s="12"/>
      <c r="N7" s="12"/>
      <c r="O7" s="12"/>
      <c r="P7" s="12"/>
      <c r="Q7" s="12"/>
      <c r="R7" s="12"/>
      <c r="S7" s="12"/>
      <c r="T7" s="12"/>
      <c r="U7" s="12"/>
      <c r="V7" s="12"/>
      <c r="W7" s="12"/>
      <c r="X7" s="12"/>
    </row>
    <row r="8" spans="1:256" ht="24" customHeight="1" x14ac:dyDescent="0.25">
      <c r="A8" s="105">
        <v>1</v>
      </c>
      <c r="B8" s="106" t="s">
        <v>48</v>
      </c>
      <c r="C8" s="105" t="s">
        <v>49</v>
      </c>
      <c r="D8" s="397">
        <f>SUM(E8:L8)</f>
        <v>212</v>
      </c>
      <c r="E8" s="350">
        <v>72</v>
      </c>
      <c r="F8" s="350">
        <v>28</v>
      </c>
      <c r="G8" s="350"/>
      <c r="H8" s="350"/>
      <c r="I8" s="350">
        <v>7</v>
      </c>
      <c r="J8" s="350">
        <v>46</v>
      </c>
      <c r="K8" s="350">
        <v>59</v>
      </c>
      <c r="L8" s="350"/>
      <c r="M8" s="16"/>
      <c r="N8" s="16"/>
      <c r="O8" s="16"/>
      <c r="P8" s="16"/>
      <c r="Q8" s="16"/>
      <c r="R8" s="16"/>
      <c r="S8" s="16"/>
      <c r="T8" s="16"/>
      <c r="U8" s="16"/>
      <c r="V8" s="16"/>
      <c r="W8" s="16"/>
      <c r="X8" s="16"/>
    </row>
    <row r="9" spans="1:256" ht="24" customHeight="1" x14ac:dyDescent="0.25">
      <c r="A9" s="105">
        <v>2</v>
      </c>
      <c r="B9" s="106" t="s">
        <v>50</v>
      </c>
      <c r="C9" s="105" t="s">
        <v>49</v>
      </c>
      <c r="D9" s="397">
        <f>SUM(E9:L9)</f>
        <v>1515</v>
      </c>
      <c r="E9" s="350">
        <v>113</v>
      </c>
      <c r="F9" s="350">
        <v>92</v>
      </c>
      <c r="G9" s="350">
        <v>124</v>
      </c>
      <c r="H9" s="350">
        <v>85</v>
      </c>
      <c r="I9" s="350">
        <v>391</v>
      </c>
      <c r="J9" s="350">
        <v>618</v>
      </c>
      <c r="K9" s="350">
        <v>89</v>
      </c>
      <c r="L9" s="350">
        <v>3</v>
      </c>
      <c r="M9" s="16"/>
      <c r="N9" s="16"/>
      <c r="O9" s="16"/>
      <c r="P9" s="16"/>
      <c r="Q9" s="16"/>
      <c r="R9" s="16"/>
      <c r="S9" s="16"/>
      <c r="T9" s="16"/>
      <c r="U9" s="16"/>
      <c r="V9" s="16"/>
      <c r="W9" s="16"/>
      <c r="X9" s="16"/>
    </row>
    <row r="10" spans="1:256" s="80" customFormat="1" ht="24" customHeight="1" x14ac:dyDescent="0.25">
      <c r="A10" s="103" t="s">
        <v>31</v>
      </c>
      <c r="B10" s="115" t="s">
        <v>79</v>
      </c>
      <c r="C10" s="103"/>
      <c r="D10" s="446">
        <f>SUM(D11:D12)</f>
        <v>66.650000000000006</v>
      </c>
      <c r="E10" s="446">
        <f t="shared" ref="E10:L10" si="0">SUM(E11:E12)</f>
        <v>10.59</v>
      </c>
      <c r="F10" s="446">
        <f t="shared" si="0"/>
        <v>5.5600000000000005</v>
      </c>
      <c r="G10" s="446">
        <f t="shared" si="0"/>
        <v>3.7199999999999998</v>
      </c>
      <c r="H10" s="446">
        <f t="shared" si="0"/>
        <v>2.5499999999999998</v>
      </c>
      <c r="I10" s="446">
        <f t="shared" si="0"/>
        <v>12.43</v>
      </c>
      <c r="J10" s="446">
        <f t="shared" si="0"/>
        <v>23.14</v>
      </c>
      <c r="K10" s="446">
        <f t="shared" si="0"/>
        <v>8.57</v>
      </c>
      <c r="L10" s="446">
        <f t="shared" si="0"/>
        <v>0.09</v>
      </c>
      <c r="M10" s="17"/>
      <c r="N10" s="17"/>
      <c r="O10" s="17"/>
      <c r="P10" s="17"/>
      <c r="Q10" s="17"/>
      <c r="R10" s="17"/>
      <c r="S10" s="17"/>
      <c r="T10" s="17"/>
      <c r="U10" s="17"/>
      <c r="V10" s="17"/>
      <c r="W10" s="17"/>
      <c r="X10" s="17"/>
    </row>
    <row r="11" spans="1:256" ht="24" customHeight="1" x14ac:dyDescent="0.25">
      <c r="A11" s="105">
        <v>1</v>
      </c>
      <c r="B11" s="106" t="s">
        <v>52</v>
      </c>
      <c r="C11" s="105">
        <v>0.1</v>
      </c>
      <c r="D11" s="397">
        <f>SUM(E11:L11)</f>
        <v>21.200000000000003</v>
      </c>
      <c r="E11" s="350">
        <f>$C$11*E8</f>
        <v>7.2</v>
      </c>
      <c r="F11" s="350">
        <f t="shared" ref="F11:L11" si="1">$C$11*F8</f>
        <v>2.8000000000000003</v>
      </c>
      <c r="G11" s="350">
        <f t="shared" si="1"/>
        <v>0</v>
      </c>
      <c r="H11" s="350">
        <f t="shared" si="1"/>
        <v>0</v>
      </c>
      <c r="I11" s="350">
        <f t="shared" si="1"/>
        <v>0.70000000000000007</v>
      </c>
      <c r="J11" s="350">
        <f t="shared" si="1"/>
        <v>4.6000000000000005</v>
      </c>
      <c r="K11" s="350">
        <f t="shared" si="1"/>
        <v>5.9</v>
      </c>
      <c r="L11" s="350">
        <f t="shared" si="1"/>
        <v>0</v>
      </c>
      <c r="M11" s="16"/>
      <c r="N11" s="16"/>
      <c r="O11" s="16"/>
      <c r="P11" s="16"/>
      <c r="Q11" s="16"/>
      <c r="R11" s="16"/>
      <c r="S11" s="16"/>
      <c r="T11" s="16"/>
      <c r="U11" s="16"/>
      <c r="V11" s="16"/>
      <c r="W11" s="16"/>
      <c r="X11" s="16"/>
    </row>
    <row r="12" spans="1:256" ht="24" customHeight="1" x14ac:dyDescent="0.25">
      <c r="A12" s="105">
        <v>2</v>
      </c>
      <c r="B12" s="106" t="s">
        <v>53</v>
      </c>
      <c r="C12" s="105">
        <v>0.03</v>
      </c>
      <c r="D12" s="397">
        <f>SUM(E12:L12)</f>
        <v>45.45</v>
      </c>
      <c r="E12" s="350">
        <f>$C$12*E9</f>
        <v>3.3899999999999997</v>
      </c>
      <c r="F12" s="350">
        <f t="shared" ref="F12:L12" si="2">$C$12*F9</f>
        <v>2.76</v>
      </c>
      <c r="G12" s="350">
        <f t="shared" si="2"/>
        <v>3.7199999999999998</v>
      </c>
      <c r="H12" s="350">
        <f t="shared" si="2"/>
        <v>2.5499999999999998</v>
      </c>
      <c r="I12" s="350">
        <f t="shared" si="2"/>
        <v>11.73</v>
      </c>
      <c r="J12" s="350">
        <f t="shared" si="2"/>
        <v>18.54</v>
      </c>
      <c r="K12" s="350">
        <f t="shared" si="2"/>
        <v>2.67</v>
      </c>
      <c r="L12" s="350">
        <f t="shared" si="2"/>
        <v>0.09</v>
      </c>
      <c r="M12" s="16"/>
      <c r="N12" s="16"/>
      <c r="O12" s="16"/>
      <c r="P12" s="16"/>
      <c r="Q12" s="16"/>
      <c r="R12" s="16"/>
      <c r="S12" s="16"/>
      <c r="T12" s="16"/>
      <c r="U12" s="16"/>
      <c r="V12" s="16"/>
      <c r="W12" s="16"/>
      <c r="X12" s="16"/>
    </row>
    <row r="13" spans="1:256" s="82" customFormat="1" ht="24" customHeight="1" x14ac:dyDescent="0.25">
      <c r="A13" s="108" t="s">
        <v>54</v>
      </c>
      <c r="B13" s="109" t="s">
        <v>574</v>
      </c>
      <c r="C13" s="108"/>
      <c r="D13" s="181">
        <v>5541</v>
      </c>
      <c r="E13" s="348">
        <f>SUM(E14:E15)</f>
        <v>882</v>
      </c>
      <c r="F13" s="348">
        <f t="shared" ref="F13:L13" si="3">SUM(F14:F15)</f>
        <v>462</v>
      </c>
      <c r="G13" s="348">
        <f t="shared" si="3"/>
        <v>309</v>
      </c>
      <c r="H13" s="348">
        <f t="shared" si="3"/>
        <v>212</v>
      </c>
      <c r="I13" s="348">
        <f t="shared" si="3"/>
        <v>1033</v>
      </c>
      <c r="J13" s="348">
        <f t="shared" si="3"/>
        <v>1923</v>
      </c>
      <c r="K13" s="348">
        <f t="shared" si="3"/>
        <v>713</v>
      </c>
      <c r="L13" s="348">
        <f t="shared" si="3"/>
        <v>7</v>
      </c>
      <c r="M13" s="81"/>
      <c r="N13" s="81"/>
      <c r="O13" s="81"/>
      <c r="P13" s="81"/>
      <c r="Q13" s="81"/>
      <c r="R13" s="81"/>
      <c r="S13" s="81"/>
      <c r="T13" s="81"/>
      <c r="U13" s="81"/>
      <c r="V13" s="81"/>
      <c r="W13" s="81"/>
      <c r="X13" s="81"/>
    </row>
    <row r="14" spans="1:256" s="83" customFormat="1" ht="24" customHeight="1" x14ac:dyDescent="0.25">
      <c r="A14" s="110">
        <v>1</v>
      </c>
      <c r="B14" s="111" t="s">
        <v>138</v>
      </c>
      <c r="C14" s="110" t="s">
        <v>55</v>
      </c>
      <c r="D14" s="178">
        <f>SUM(E14:L14)</f>
        <v>1763</v>
      </c>
      <c r="E14" s="339">
        <f>ROUND(($D$13/$D$10)*E11,0)</f>
        <v>599</v>
      </c>
      <c r="F14" s="339">
        <f t="shared" ref="F14:L14" si="4">ROUND(($D$13/$D$10)*F11,0)</f>
        <v>233</v>
      </c>
      <c r="G14" s="339">
        <f t="shared" si="4"/>
        <v>0</v>
      </c>
      <c r="H14" s="339">
        <f t="shared" si="4"/>
        <v>0</v>
      </c>
      <c r="I14" s="339">
        <f t="shared" si="4"/>
        <v>58</v>
      </c>
      <c r="J14" s="339">
        <f t="shared" si="4"/>
        <v>382</v>
      </c>
      <c r="K14" s="339">
        <f t="shared" si="4"/>
        <v>491</v>
      </c>
      <c r="L14" s="339">
        <f t="shared" si="4"/>
        <v>0</v>
      </c>
      <c r="M14" s="18"/>
      <c r="N14" s="18"/>
      <c r="O14" s="18"/>
      <c r="P14" s="18"/>
      <c r="Q14" s="18"/>
      <c r="R14" s="18"/>
      <c r="S14" s="18"/>
      <c r="T14" s="18"/>
      <c r="U14" s="18"/>
      <c r="V14" s="18"/>
      <c r="W14" s="18"/>
      <c r="X14" s="18"/>
    </row>
    <row r="15" spans="1:256" s="83" customFormat="1" ht="24" customHeight="1" x14ac:dyDescent="0.25">
      <c r="A15" s="110">
        <v>2</v>
      </c>
      <c r="B15" s="112" t="s">
        <v>139</v>
      </c>
      <c r="C15" s="110" t="s">
        <v>55</v>
      </c>
      <c r="D15" s="178">
        <f>SUM(E15:L15)</f>
        <v>3778</v>
      </c>
      <c r="E15" s="339">
        <f>ROUND(($D$13/$D$10)*E12,0)+1</f>
        <v>283</v>
      </c>
      <c r="F15" s="339">
        <f t="shared" ref="F15:L15" si="5">ROUND(($D$13/$D$10)*F12,0)</f>
        <v>229</v>
      </c>
      <c r="G15" s="339">
        <f t="shared" si="5"/>
        <v>309</v>
      </c>
      <c r="H15" s="339">
        <f t="shared" si="5"/>
        <v>212</v>
      </c>
      <c r="I15" s="339">
        <f t="shared" si="5"/>
        <v>975</v>
      </c>
      <c r="J15" s="339">
        <f>ROUND(($D$13/$D$10)*J12,0)</f>
        <v>1541</v>
      </c>
      <c r="K15" s="339">
        <f t="shared" si="5"/>
        <v>222</v>
      </c>
      <c r="L15" s="339">
        <f t="shared" si="5"/>
        <v>7</v>
      </c>
      <c r="M15" s="18"/>
      <c r="N15" s="18"/>
      <c r="O15" s="18"/>
      <c r="P15" s="18"/>
      <c r="Q15" s="18"/>
      <c r="R15" s="18"/>
      <c r="S15" s="18"/>
      <c r="T15" s="18"/>
      <c r="U15" s="18"/>
      <c r="V15" s="18"/>
      <c r="W15" s="18"/>
      <c r="X15" s="18"/>
    </row>
    <row r="16" spans="1:256" ht="24" customHeight="1" x14ac:dyDescent="0.25">
      <c r="A16" s="113" t="s">
        <v>56</v>
      </c>
      <c r="B16" s="114" t="s">
        <v>260</v>
      </c>
      <c r="C16" s="110" t="s">
        <v>55</v>
      </c>
      <c r="D16" s="181">
        <f>SUM(D17:D18)</f>
        <v>276</v>
      </c>
      <c r="E16" s="181">
        <f t="shared" ref="E16:L16" si="6">SUM(E17:E18)</f>
        <v>44</v>
      </c>
      <c r="F16" s="181">
        <f t="shared" si="6"/>
        <v>23</v>
      </c>
      <c r="G16" s="181">
        <f t="shared" si="6"/>
        <v>15</v>
      </c>
      <c r="H16" s="181">
        <f t="shared" si="6"/>
        <v>11</v>
      </c>
      <c r="I16" s="181">
        <f t="shared" si="6"/>
        <v>51</v>
      </c>
      <c r="J16" s="181">
        <f t="shared" si="6"/>
        <v>96</v>
      </c>
      <c r="K16" s="181">
        <f t="shared" si="6"/>
        <v>36</v>
      </c>
      <c r="L16" s="181">
        <f t="shared" si="6"/>
        <v>0</v>
      </c>
      <c r="M16" s="84"/>
    </row>
    <row r="17" spans="1:14" ht="24" customHeight="1" x14ac:dyDescent="0.25">
      <c r="A17" s="110">
        <v>1</v>
      </c>
      <c r="B17" s="111" t="s">
        <v>138</v>
      </c>
      <c r="C17" s="110" t="s">
        <v>55</v>
      </c>
      <c r="D17" s="339">
        <f>SUM(E17:L17)</f>
        <v>89</v>
      </c>
      <c r="E17" s="339">
        <f>ROUND(E14*5%,0)</f>
        <v>30</v>
      </c>
      <c r="F17" s="339">
        <f t="shared" ref="F17:L17" si="7">ROUND(F14*5%,0)</f>
        <v>12</v>
      </c>
      <c r="G17" s="339">
        <f t="shared" si="7"/>
        <v>0</v>
      </c>
      <c r="H17" s="339">
        <f t="shared" si="7"/>
        <v>0</v>
      </c>
      <c r="I17" s="339">
        <f t="shared" si="7"/>
        <v>3</v>
      </c>
      <c r="J17" s="339">
        <f t="shared" si="7"/>
        <v>19</v>
      </c>
      <c r="K17" s="339">
        <f t="shared" si="7"/>
        <v>25</v>
      </c>
      <c r="L17" s="339">
        <f t="shared" si="7"/>
        <v>0</v>
      </c>
      <c r="M17" s="88"/>
      <c r="N17" s="88"/>
    </row>
    <row r="18" spans="1:14" ht="24" customHeight="1" x14ac:dyDescent="0.25">
      <c r="A18" s="110">
        <v>2</v>
      </c>
      <c r="B18" s="112" t="s">
        <v>139</v>
      </c>
      <c r="C18" s="110" t="s">
        <v>55</v>
      </c>
      <c r="D18" s="339">
        <f>SUM(E18:L18)</f>
        <v>187</v>
      </c>
      <c r="E18" s="339">
        <f>ROUND(E15*5%,0)</f>
        <v>14</v>
      </c>
      <c r="F18" s="339">
        <f t="shared" ref="F18:L18" si="8">ROUND(F15*5%,0)</f>
        <v>11</v>
      </c>
      <c r="G18" s="339">
        <f t="shared" si="8"/>
        <v>15</v>
      </c>
      <c r="H18" s="339">
        <f t="shared" si="8"/>
        <v>11</v>
      </c>
      <c r="I18" s="339">
        <f>ROUND(I15*5%,0)-1</f>
        <v>48</v>
      </c>
      <c r="J18" s="339">
        <f t="shared" si="8"/>
        <v>77</v>
      </c>
      <c r="K18" s="339">
        <f t="shared" si="8"/>
        <v>11</v>
      </c>
      <c r="L18" s="339">
        <f t="shared" si="8"/>
        <v>0</v>
      </c>
      <c r="M18" s="88"/>
      <c r="N18" s="88"/>
    </row>
    <row r="19" spans="1:14" ht="24" customHeight="1" x14ac:dyDescent="0.25">
      <c r="A19" s="113" t="s">
        <v>57</v>
      </c>
      <c r="B19" s="114" t="s">
        <v>261</v>
      </c>
      <c r="C19" s="110" t="s">
        <v>55</v>
      </c>
      <c r="D19" s="181">
        <f>SUM(D20:D21)</f>
        <v>5817</v>
      </c>
      <c r="E19" s="181">
        <f t="shared" ref="E19:L19" si="9">SUM(E20:E21)</f>
        <v>926</v>
      </c>
      <c r="F19" s="181">
        <f t="shared" si="9"/>
        <v>485</v>
      </c>
      <c r="G19" s="181">
        <f t="shared" si="9"/>
        <v>324</v>
      </c>
      <c r="H19" s="181">
        <f t="shared" si="9"/>
        <v>223</v>
      </c>
      <c r="I19" s="181">
        <f t="shared" si="9"/>
        <v>1084</v>
      </c>
      <c r="J19" s="181">
        <f t="shared" si="9"/>
        <v>2019</v>
      </c>
      <c r="K19" s="181">
        <f t="shared" si="9"/>
        <v>749</v>
      </c>
      <c r="L19" s="181">
        <f t="shared" si="9"/>
        <v>7</v>
      </c>
      <c r="M19" s="84"/>
    </row>
    <row r="20" spans="1:14" ht="24" customHeight="1" x14ac:dyDescent="0.25">
      <c r="A20" s="110">
        <v>1</v>
      </c>
      <c r="B20" s="111" t="s">
        <v>138</v>
      </c>
      <c r="C20" s="110" t="s">
        <v>55</v>
      </c>
      <c r="D20" s="339">
        <f>SUM(E20:L20)</f>
        <v>1852</v>
      </c>
      <c r="E20" s="339">
        <f>E14+E17</f>
        <v>629</v>
      </c>
      <c r="F20" s="339">
        <f t="shared" ref="F20:L20" si="10">F14+F17</f>
        <v>245</v>
      </c>
      <c r="G20" s="339">
        <f t="shared" si="10"/>
        <v>0</v>
      </c>
      <c r="H20" s="339">
        <f t="shared" si="10"/>
        <v>0</v>
      </c>
      <c r="I20" s="339">
        <f t="shared" si="10"/>
        <v>61</v>
      </c>
      <c r="J20" s="339">
        <f t="shared" si="10"/>
        <v>401</v>
      </c>
      <c r="K20" s="339">
        <f t="shared" si="10"/>
        <v>516</v>
      </c>
      <c r="L20" s="339">
        <f t="shared" si="10"/>
        <v>0</v>
      </c>
      <c r="M20" s="88"/>
      <c r="N20" s="88"/>
    </row>
    <row r="21" spans="1:14" ht="24" customHeight="1" x14ac:dyDescent="0.25">
      <c r="A21" s="571">
        <v>2</v>
      </c>
      <c r="B21" s="572" t="s">
        <v>139</v>
      </c>
      <c r="C21" s="571" t="s">
        <v>55</v>
      </c>
      <c r="D21" s="573">
        <f>SUM(E21:L21)</f>
        <v>3965</v>
      </c>
      <c r="E21" s="573">
        <f>E15+E18</f>
        <v>297</v>
      </c>
      <c r="F21" s="573">
        <f t="shared" ref="F21:L21" si="11">F15+F18</f>
        <v>240</v>
      </c>
      <c r="G21" s="573">
        <f>G15+G18</f>
        <v>324</v>
      </c>
      <c r="H21" s="573">
        <f t="shared" si="11"/>
        <v>223</v>
      </c>
      <c r="I21" s="573">
        <f t="shared" si="11"/>
        <v>1023</v>
      </c>
      <c r="J21" s="573">
        <f t="shared" si="11"/>
        <v>1618</v>
      </c>
      <c r="K21" s="573">
        <f t="shared" si="11"/>
        <v>233</v>
      </c>
      <c r="L21" s="573">
        <f t="shared" si="11"/>
        <v>7</v>
      </c>
      <c r="M21" s="88"/>
      <c r="N21" s="88"/>
    </row>
    <row r="22" spans="1:14" ht="41.25" hidden="1" customHeight="1" x14ac:dyDescent="0.25">
      <c r="A22" s="520" t="s">
        <v>478</v>
      </c>
      <c r="B22" s="521" t="s">
        <v>573</v>
      </c>
      <c r="C22" s="570" t="s">
        <v>55</v>
      </c>
      <c r="D22" s="538">
        <f>SUM(D23:D24)</f>
        <v>6665</v>
      </c>
      <c r="E22" s="538">
        <f t="shared" ref="E22:L22" si="12">SUM(E23:E24)</f>
        <v>1059</v>
      </c>
      <c r="F22" s="538">
        <f t="shared" si="12"/>
        <v>556</v>
      </c>
      <c r="G22" s="538">
        <f t="shared" si="12"/>
        <v>371.99999999999994</v>
      </c>
      <c r="H22" s="538">
        <f t="shared" si="12"/>
        <v>254.99999999999997</v>
      </c>
      <c r="I22" s="538">
        <f t="shared" si="12"/>
        <v>1243</v>
      </c>
      <c r="J22" s="538">
        <f t="shared" si="12"/>
        <v>2314</v>
      </c>
      <c r="K22" s="538">
        <f t="shared" si="12"/>
        <v>857</v>
      </c>
      <c r="L22" s="538">
        <f t="shared" si="12"/>
        <v>9</v>
      </c>
      <c r="M22" s="84"/>
    </row>
    <row r="23" spans="1:14" ht="24" hidden="1" customHeight="1" x14ac:dyDescent="0.25">
      <c r="A23" s="432">
        <v>1</v>
      </c>
      <c r="B23" s="433" t="s">
        <v>138</v>
      </c>
      <c r="C23" s="432" t="s">
        <v>55</v>
      </c>
      <c r="D23" s="448">
        <f>SUM(E23:L23)</f>
        <v>2120</v>
      </c>
      <c r="E23" s="448">
        <v>720</v>
      </c>
      <c r="F23" s="448">
        <v>280</v>
      </c>
      <c r="G23" s="448">
        <v>0</v>
      </c>
      <c r="H23" s="448">
        <v>0</v>
      </c>
      <c r="I23" s="448">
        <v>70</v>
      </c>
      <c r="J23" s="448">
        <v>460.00000000000006</v>
      </c>
      <c r="K23" s="448">
        <v>590</v>
      </c>
      <c r="L23" s="448">
        <v>0</v>
      </c>
      <c r="M23" s="88"/>
      <c r="N23" s="88"/>
    </row>
    <row r="24" spans="1:14" ht="24" hidden="1" customHeight="1" x14ac:dyDescent="0.25">
      <c r="A24" s="432">
        <v>2</v>
      </c>
      <c r="B24" s="434" t="s">
        <v>139</v>
      </c>
      <c r="C24" s="432" t="s">
        <v>55</v>
      </c>
      <c r="D24" s="448">
        <f>SUM(E24:L24)</f>
        <v>4545</v>
      </c>
      <c r="E24" s="448">
        <v>339</v>
      </c>
      <c r="F24" s="448">
        <v>275.99999999999994</v>
      </c>
      <c r="G24" s="448">
        <v>371.99999999999994</v>
      </c>
      <c r="H24" s="448">
        <v>254.99999999999997</v>
      </c>
      <c r="I24" s="448">
        <v>1173</v>
      </c>
      <c r="J24" s="448">
        <v>1854</v>
      </c>
      <c r="K24" s="448">
        <v>267</v>
      </c>
      <c r="L24" s="448">
        <v>9</v>
      </c>
      <c r="M24" s="88"/>
      <c r="N24" s="88"/>
    </row>
    <row r="25" spans="1:14" ht="37.5" hidden="1" customHeight="1" x14ac:dyDescent="0.25">
      <c r="A25" s="430" t="s">
        <v>497</v>
      </c>
      <c r="B25" s="431" t="s">
        <v>572</v>
      </c>
      <c r="C25" s="432" t="s">
        <v>55</v>
      </c>
      <c r="D25" s="470">
        <f>SUM(D26:D27)</f>
        <v>-848</v>
      </c>
      <c r="E25" s="470">
        <f t="shared" ref="E25:L25" si="13">SUM(E26:E27)</f>
        <v>-133</v>
      </c>
      <c r="F25" s="470">
        <f t="shared" si="13"/>
        <v>-70.999999999999943</v>
      </c>
      <c r="G25" s="470">
        <f t="shared" si="13"/>
        <v>-47.999999999999943</v>
      </c>
      <c r="H25" s="470">
        <f t="shared" si="13"/>
        <v>-31.999999999999972</v>
      </c>
      <c r="I25" s="470">
        <f t="shared" si="13"/>
        <v>-159</v>
      </c>
      <c r="J25" s="470">
        <f t="shared" si="13"/>
        <v>-295.00000000000006</v>
      </c>
      <c r="K25" s="470">
        <f t="shared" si="13"/>
        <v>-108</v>
      </c>
      <c r="L25" s="470">
        <f t="shared" si="13"/>
        <v>-2</v>
      </c>
      <c r="M25" s="84"/>
    </row>
    <row r="26" spans="1:14" ht="24" hidden="1" customHeight="1" x14ac:dyDescent="0.25">
      <c r="A26" s="432">
        <v>1</v>
      </c>
      <c r="B26" s="433" t="s">
        <v>138</v>
      </c>
      <c r="C26" s="432" t="s">
        <v>55</v>
      </c>
      <c r="D26" s="448">
        <f>SUM(E26:L26)</f>
        <v>-268.00000000000006</v>
      </c>
      <c r="E26" s="448">
        <f>E20-E23</f>
        <v>-91</v>
      </c>
      <c r="F26" s="448">
        <f t="shared" ref="F26:L26" si="14">F20-F23</f>
        <v>-35</v>
      </c>
      <c r="G26" s="448">
        <f t="shared" si="14"/>
        <v>0</v>
      </c>
      <c r="H26" s="448">
        <f t="shared" si="14"/>
        <v>0</v>
      </c>
      <c r="I26" s="448">
        <f t="shared" si="14"/>
        <v>-9</v>
      </c>
      <c r="J26" s="448">
        <f t="shared" si="14"/>
        <v>-59.000000000000057</v>
      </c>
      <c r="K26" s="448">
        <f t="shared" si="14"/>
        <v>-74</v>
      </c>
      <c r="L26" s="448">
        <f t="shared" si="14"/>
        <v>0</v>
      </c>
      <c r="M26" s="88"/>
      <c r="N26" s="88"/>
    </row>
    <row r="27" spans="1:14" ht="24" hidden="1" customHeight="1" x14ac:dyDescent="0.25">
      <c r="A27" s="435">
        <v>2</v>
      </c>
      <c r="B27" s="436" t="s">
        <v>139</v>
      </c>
      <c r="C27" s="435" t="s">
        <v>55</v>
      </c>
      <c r="D27" s="450">
        <f>SUM(E27:L27)</f>
        <v>-579.99999999999989</v>
      </c>
      <c r="E27" s="450">
        <f>E21-E24</f>
        <v>-42</v>
      </c>
      <c r="F27" s="450">
        <f t="shared" ref="F27:L27" si="15">F21-F24</f>
        <v>-35.999999999999943</v>
      </c>
      <c r="G27" s="450">
        <f t="shared" si="15"/>
        <v>-47.999999999999943</v>
      </c>
      <c r="H27" s="450">
        <f t="shared" si="15"/>
        <v>-31.999999999999972</v>
      </c>
      <c r="I27" s="450">
        <f t="shared" si="15"/>
        <v>-150</v>
      </c>
      <c r="J27" s="450">
        <f t="shared" si="15"/>
        <v>-236</v>
      </c>
      <c r="K27" s="450">
        <f t="shared" si="15"/>
        <v>-34</v>
      </c>
      <c r="L27" s="450">
        <f t="shared" si="15"/>
        <v>-2</v>
      </c>
      <c r="M27" s="88"/>
      <c r="N27" s="88"/>
    </row>
    <row r="28" spans="1:14" x14ac:dyDescent="0.25">
      <c r="E28" s="86"/>
      <c r="F28" s="86"/>
      <c r="G28" s="86"/>
      <c r="H28" s="86"/>
      <c r="I28" s="86"/>
      <c r="J28" s="86"/>
      <c r="K28" s="86"/>
      <c r="L28" s="86"/>
    </row>
    <row r="29" spans="1:14" x14ac:dyDescent="0.25">
      <c r="E29" s="86"/>
      <c r="F29" s="86"/>
      <c r="G29" s="86"/>
      <c r="H29" s="86"/>
      <c r="I29" s="86"/>
      <c r="J29" s="86"/>
      <c r="K29" s="86"/>
      <c r="L29" s="86"/>
    </row>
    <row r="30" spans="1:14" x14ac:dyDescent="0.25">
      <c r="E30" s="86"/>
      <c r="F30" s="86"/>
      <c r="G30" s="86"/>
      <c r="H30" s="86"/>
      <c r="I30" s="86"/>
      <c r="J30" s="86"/>
      <c r="K30" s="86"/>
      <c r="L30" s="86"/>
    </row>
  </sheetData>
  <mergeCells count="27">
    <mergeCell ref="M1:N1"/>
    <mergeCell ref="I1:L1"/>
    <mergeCell ref="M2:X2"/>
    <mergeCell ref="Y2:AJ2"/>
    <mergeCell ref="AK2:AV2"/>
    <mergeCell ref="IG2:IR2"/>
    <mergeCell ref="IS2:IV2"/>
    <mergeCell ref="HI2:HT2"/>
    <mergeCell ref="HU2:IF2"/>
    <mergeCell ref="AW2:BH2"/>
    <mergeCell ref="BI2:BT2"/>
    <mergeCell ref="BU2:CF2"/>
    <mergeCell ref="CG2:CR2"/>
    <mergeCell ref="CS2:DD2"/>
    <mergeCell ref="DE2:DP2"/>
    <mergeCell ref="GK2:GV2"/>
    <mergeCell ref="GW2:HH2"/>
    <mergeCell ref="DQ2:EB2"/>
    <mergeCell ref="EC2:EN2"/>
    <mergeCell ref="EO2:EZ2"/>
    <mergeCell ref="FA2:FL2"/>
    <mergeCell ref="J5:L5"/>
    <mergeCell ref="A4:L4"/>
    <mergeCell ref="A3:L3"/>
    <mergeCell ref="FM2:FX2"/>
    <mergeCell ref="FY2:GJ2"/>
    <mergeCell ref="A2:L2"/>
  </mergeCells>
  <pageMargins left="0.70866141732283472" right="0.51181102362204722" top="0.43307086614173229" bottom="0.43307086614173229" header="0.31496062992125984" footer="0.31496062992125984"/>
  <pageSetup paperSize="9" scale="65" firstPageNumber="162" fitToHeight="0" orientation="landscape" useFirstPageNumber="1" r:id="rId1"/>
  <headerFooter>
    <oddHeader>&amp;C&amp;P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U29"/>
  <sheetViews>
    <sheetView view="pageLayout" topLeftCell="A16" zoomScaleNormal="100" workbookViewId="0">
      <selection activeCell="I1" sqref="I1:L1"/>
    </sheetView>
  </sheetViews>
  <sheetFormatPr defaultColWidth="7.75" defaultRowHeight="15.75" x14ac:dyDescent="0.25"/>
  <cols>
    <col min="1" max="1" width="6.75" style="19" customWidth="1"/>
    <col min="2" max="2" width="42.75" style="16" customWidth="1"/>
    <col min="3" max="3" width="10.75" style="19" customWidth="1"/>
    <col min="4" max="4" width="10.75" style="16" customWidth="1"/>
    <col min="5" max="7" width="10.75" style="20" customWidth="1"/>
    <col min="8" max="10" width="10.75" style="16" customWidth="1"/>
    <col min="11" max="11" width="10.75" style="20" customWidth="1"/>
    <col min="12" max="12" width="10.75" style="19" customWidth="1"/>
    <col min="13" max="16384" width="7.75" style="16"/>
  </cols>
  <sheetData>
    <row r="1" spans="1:255" s="15" customFormat="1" ht="34.5" customHeight="1" x14ac:dyDescent="0.25">
      <c r="A1" s="4"/>
      <c r="B1" s="4"/>
      <c r="C1" s="5"/>
      <c r="D1" s="5"/>
      <c r="E1" s="5"/>
      <c r="F1" s="5"/>
      <c r="G1" s="5"/>
      <c r="H1" s="5"/>
      <c r="I1" s="787" t="s">
        <v>611</v>
      </c>
      <c r="J1" s="788"/>
      <c r="K1" s="788"/>
      <c r="L1" s="788"/>
      <c r="M1" s="4"/>
    </row>
    <row r="2" spans="1:255" s="15" customFormat="1" ht="23.25" customHeight="1" x14ac:dyDescent="0.25">
      <c r="A2" s="785" t="s">
        <v>61</v>
      </c>
      <c r="B2" s="785"/>
      <c r="C2" s="785"/>
      <c r="D2" s="785"/>
      <c r="E2" s="785"/>
      <c r="F2" s="785"/>
      <c r="G2" s="785"/>
      <c r="H2" s="785"/>
      <c r="I2" s="785"/>
      <c r="J2" s="785"/>
      <c r="K2" s="785"/>
      <c r="L2" s="785"/>
      <c r="M2" s="9"/>
      <c r="N2" s="9"/>
      <c r="O2" s="9"/>
      <c r="P2" s="9"/>
      <c r="Q2" s="9"/>
      <c r="R2" s="9"/>
      <c r="S2" s="9"/>
      <c r="T2" s="9"/>
      <c r="U2" s="9"/>
      <c r="V2" s="9"/>
      <c r="W2" s="9"/>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785"/>
      <c r="BK2" s="785"/>
      <c r="BL2" s="785"/>
      <c r="BM2" s="785"/>
      <c r="BN2" s="785"/>
      <c r="BO2" s="785"/>
      <c r="BP2" s="785"/>
      <c r="BQ2" s="785"/>
      <c r="BR2" s="785"/>
      <c r="BS2" s="785"/>
      <c r="BT2" s="785"/>
      <c r="BU2" s="785"/>
      <c r="BV2" s="785"/>
      <c r="BW2" s="785"/>
      <c r="BX2" s="785"/>
      <c r="BY2" s="785"/>
      <c r="BZ2" s="785"/>
      <c r="CA2" s="785"/>
      <c r="CB2" s="785"/>
      <c r="CC2" s="785"/>
      <c r="CD2" s="785"/>
      <c r="CE2" s="785"/>
      <c r="CF2" s="785"/>
      <c r="CG2" s="785"/>
      <c r="CH2" s="785"/>
      <c r="CI2" s="785"/>
      <c r="CJ2" s="785"/>
      <c r="CK2" s="785"/>
      <c r="CL2" s="785"/>
      <c r="CM2" s="785"/>
      <c r="CN2" s="785"/>
      <c r="CO2" s="785"/>
      <c r="CP2" s="785"/>
      <c r="CQ2" s="785"/>
      <c r="CR2" s="785"/>
      <c r="CS2" s="785"/>
      <c r="CT2" s="785"/>
      <c r="CU2" s="785"/>
      <c r="CV2" s="785"/>
      <c r="CW2" s="785"/>
      <c r="CX2" s="785"/>
      <c r="CY2" s="785"/>
      <c r="CZ2" s="785"/>
      <c r="DA2" s="785"/>
      <c r="DB2" s="785"/>
      <c r="DC2" s="785"/>
      <c r="DD2" s="785"/>
      <c r="DE2" s="785"/>
      <c r="DF2" s="785"/>
      <c r="DG2" s="785"/>
      <c r="DH2" s="785"/>
      <c r="DI2" s="785"/>
      <c r="DJ2" s="785"/>
      <c r="DK2" s="785"/>
      <c r="DL2" s="785"/>
      <c r="DM2" s="785"/>
      <c r="DN2" s="785"/>
      <c r="DO2" s="785"/>
      <c r="DP2" s="785"/>
      <c r="DQ2" s="785"/>
      <c r="DR2" s="785"/>
      <c r="DS2" s="785"/>
      <c r="DT2" s="785"/>
      <c r="DU2" s="785"/>
      <c r="DV2" s="785"/>
      <c r="DW2" s="785"/>
      <c r="DX2" s="785"/>
      <c r="DY2" s="785"/>
      <c r="DZ2" s="785"/>
      <c r="EA2" s="785"/>
      <c r="EB2" s="785"/>
      <c r="EC2" s="785"/>
      <c r="ED2" s="785"/>
      <c r="EE2" s="785"/>
      <c r="EF2" s="785"/>
      <c r="EG2" s="785"/>
      <c r="EH2" s="785"/>
      <c r="EI2" s="785"/>
      <c r="EJ2" s="785"/>
      <c r="EK2" s="785"/>
      <c r="EL2" s="785"/>
      <c r="EM2" s="785"/>
      <c r="EN2" s="785"/>
      <c r="EO2" s="785"/>
      <c r="EP2" s="785"/>
      <c r="EQ2" s="785"/>
      <c r="ER2" s="785"/>
      <c r="ES2" s="785"/>
      <c r="ET2" s="785"/>
      <c r="EU2" s="785"/>
      <c r="EV2" s="785"/>
      <c r="EW2" s="785"/>
      <c r="EX2" s="785"/>
      <c r="EY2" s="785"/>
      <c r="EZ2" s="785"/>
      <c r="FA2" s="785"/>
      <c r="FB2" s="785"/>
      <c r="FC2" s="785"/>
      <c r="FD2" s="785"/>
      <c r="FE2" s="785"/>
      <c r="FF2" s="785"/>
      <c r="FG2" s="785"/>
      <c r="FH2" s="785"/>
      <c r="FI2" s="785"/>
      <c r="FJ2" s="785"/>
      <c r="FK2" s="785"/>
      <c r="FL2" s="785"/>
      <c r="FM2" s="785"/>
      <c r="FN2" s="785"/>
      <c r="FO2" s="785"/>
      <c r="FP2" s="785"/>
      <c r="FQ2" s="785"/>
      <c r="FR2" s="785"/>
      <c r="FS2" s="785"/>
      <c r="FT2" s="785"/>
      <c r="FU2" s="785"/>
      <c r="FV2" s="785"/>
      <c r="FW2" s="785"/>
      <c r="FX2" s="785"/>
      <c r="FY2" s="785"/>
      <c r="FZ2" s="785"/>
      <c r="GA2" s="785"/>
      <c r="GB2" s="785"/>
      <c r="GC2" s="785"/>
      <c r="GD2" s="785"/>
      <c r="GE2" s="785"/>
      <c r="GF2" s="785"/>
      <c r="GG2" s="785"/>
      <c r="GH2" s="785"/>
      <c r="GI2" s="785"/>
      <c r="GJ2" s="785"/>
      <c r="GK2" s="785"/>
      <c r="GL2" s="785"/>
      <c r="GM2" s="785"/>
      <c r="GN2" s="785"/>
      <c r="GO2" s="785"/>
      <c r="GP2" s="785"/>
      <c r="GQ2" s="785"/>
      <c r="GR2" s="785"/>
      <c r="GS2" s="785"/>
      <c r="GT2" s="785"/>
      <c r="GU2" s="785"/>
      <c r="GV2" s="785"/>
      <c r="GW2" s="785"/>
      <c r="GX2" s="785"/>
      <c r="GY2" s="785"/>
      <c r="GZ2" s="785"/>
      <c r="HA2" s="785"/>
      <c r="HB2" s="785"/>
      <c r="HC2" s="785"/>
      <c r="HD2" s="785"/>
      <c r="HE2" s="785"/>
      <c r="HF2" s="785"/>
      <c r="HG2" s="785"/>
      <c r="HH2" s="785"/>
      <c r="HI2" s="785"/>
      <c r="HJ2" s="785"/>
      <c r="HK2" s="785"/>
      <c r="HL2" s="785"/>
      <c r="HM2" s="785"/>
      <c r="HN2" s="785"/>
      <c r="HO2" s="785"/>
      <c r="HP2" s="785"/>
      <c r="HQ2" s="785"/>
      <c r="HR2" s="785"/>
      <c r="HS2" s="785"/>
      <c r="HT2" s="785"/>
      <c r="HU2" s="785"/>
      <c r="HV2" s="785"/>
      <c r="HW2" s="785"/>
      <c r="HX2" s="785"/>
      <c r="HY2" s="785"/>
      <c r="HZ2" s="785"/>
      <c r="IA2" s="785"/>
      <c r="IB2" s="785"/>
      <c r="IC2" s="785"/>
      <c r="ID2" s="785"/>
      <c r="IE2" s="785"/>
      <c r="IF2" s="785"/>
      <c r="IG2" s="785"/>
      <c r="IH2" s="785"/>
      <c r="II2" s="785"/>
      <c r="IJ2" s="785"/>
      <c r="IK2" s="785"/>
      <c r="IL2" s="785"/>
      <c r="IM2" s="785"/>
      <c r="IN2" s="785"/>
      <c r="IO2" s="785"/>
      <c r="IP2" s="785"/>
      <c r="IQ2" s="785"/>
      <c r="IR2" s="785"/>
      <c r="IS2" s="785"/>
      <c r="IT2" s="785"/>
      <c r="IU2" s="785"/>
    </row>
    <row r="3" spans="1:255" s="15" customFormat="1" ht="23.25" customHeight="1" x14ac:dyDescent="0.25">
      <c r="A3" s="785" t="s">
        <v>60</v>
      </c>
      <c r="B3" s="785"/>
      <c r="C3" s="785"/>
      <c r="D3" s="785"/>
      <c r="E3" s="785"/>
      <c r="F3" s="785"/>
      <c r="G3" s="785"/>
      <c r="H3" s="785"/>
      <c r="I3" s="785"/>
      <c r="J3" s="785"/>
      <c r="K3" s="785"/>
      <c r="L3" s="785"/>
      <c r="M3" s="9"/>
    </row>
    <row r="4" spans="1:255" s="15" customFormat="1" ht="31.5" customHeight="1" x14ac:dyDescent="0.25">
      <c r="A4" s="784" t="str">
        <f>'B3-DA1'!A4:L4</f>
        <v>(Kèm theo Báo cáo số:          /BC-UBND ngày          tháng 11 năm 2023 của UBND tỉnh)</v>
      </c>
      <c r="B4" s="784"/>
      <c r="C4" s="784"/>
      <c r="D4" s="784"/>
      <c r="E4" s="784"/>
      <c r="F4" s="784"/>
      <c r="G4" s="784"/>
      <c r="H4" s="784"/>
      <c r="I4" s="784"/>
      <c r="J4" s="784"/>
      <c r="K4" s="784"/>
      <c r="L4" s="87"/>
      <c r="M4" s="9"/>
    </row>
    <row r="5" spans="1:255" s="12" customFormat="1" ht="57" customHeight="1" x14ac:dyDescent="0.25">
      <c r="A5" s="359" t="s">
        <v>1</v>
      </c>
      <c r="B5" s="359" t="s">
        <v>35</v>
      </c>
      <c r="C5" s="359" t="s">
        <v>36</v>
      </c>
      <c r="D5" s="359" t="s">
        <v>37</v>
      </c>
      <c r="E5" s="360" t="s">
        <v>38</v>
      </c>
      <c r="F5" s="360" t="s">
        <v>39</v>
      </c>
      <c r="G5" s="360" t="s">
        <v>40</v>
      </c>
      <c r="H5" s="359" t="s">
        <v>41</v>
      </c>
      <c r="I5" s="359" t="s">
        <v>42</v>
      </c>
      <c r="J5" s="359" t="s">
        <v>43</v>
      </c>
      <c r="K5" s="360" t="s">
        <v>44</v>
      </c>
      <c r="L5" s="359" t="s">
        <v>143</v>
      </c>
    </row>
    <row r="6" spans="1:255" s="12" customFormat="1" ht="23.25" customHeight="1" x14ac:dyDescent="0.25">
      <c r="A6" s="101" t="s">
        <v>46</v>
      </c>
      <c r="B6" s="116" t="s">
        <v>47</v>
      </c>
      <c r="C6" s="101"/>
      <c r="D6" s="101"/>
      <c r="E6" s="102"/>
      <c r="F6" s="102"/>
      <c r="G6" s="102"/>
      <c r="H6" s="101"/>
      <c r="I6" s="101"/>
      <c r="J6" s="101"/>
      <c r="K6" s="102"/>
      <c r="L6" s="101"/>
    </row>
    <row r="7" spans="1:255" ht="70.5" customHeight="1" x14ac:dyDescent="0.25">
      <c r="A7" s="105">
        <v>1</v>
      </c>
      <c r="B7" s="118" t="s">
        <v>140</v>
      </c>
      <c r="C7" s="119" t="s">
        <v>141</v>
      </c>
      <c r="D7" s="397">
        <f>SUM(E7:L7)</f>
        <v>57210.890000000007</v>
      </c>
      <c r="E7" s="350">
        <v>3928.64</v>
      </c>
      <c r="F7" s="350">
        <v>5974.75</v>
      </c>
      <c r="G7" s="350">
        <v>5934.2800000000007</v>
      </c>
      <c r="H7" s="350">
        <v>8592.84</v>
      </c>
      <c r="I7" s="350">
        <v>8560.5299999999988</v>
      </c>
      <c r="J7" s="350">
        <v>10523.970000000001</v>
      </c>
      <c r="K7" s="350">
        <v>11717.37</v>
      </c>
      <c r="L7" s="397">
        <v>1978.51</v>
      </c>
    </row>
    <row r="8" spans="1:255" ht="52.5" customHeight="1" x14ac:dyDescent="0.25">
      <c r="A8" s="105">
        <v>2</v>
      </c>
      <c r="B8" s="118" t="s">
        <v>62</v>
      </c>
      <c r="C8" s="119" t="s">
        <v>141</v>
      </c>
      <c r="D8" s="397">
        <f t="shared" ref="D8:D12" si="0">SUM(E8:L8)</f>
        <v>67676.75</v>
      </c>
      <c r="E8" s="350">
        <v>5853.32</v>
      </c>
      <c r="F8" s="350">
        <v>7085.02</v>
      </c>
      <c r="G8" s="350">
        <v>19646.330000000002</v>
      </c>
      <c r="H8" s="350">
        <v>10920.37</v>
      </c>
      <c r="I8" s="350">
        <v>9190.51</v>
      </c>
      <c r="J8" s="350">
        <v>11867.79</v>
      </c>
      <c r="K8" s="350">
        <v>3113.4100000000003</v>
      </c>
      <c r="L8" s="397">
        <v>0</v>
      </c>
    </row>
    <row r="9" spans="1:255" s="89" customFormat="1" ht="36" customHeight="1" x14ac:dyDescent="0.25">
      <c r="A9" s="120">
        <v>3</v>
      </c>
      <c r="B9" s="121" t="s">
        <v>63</v>
      </c>
      <c r="C9" s="119" t="s">
        <v>141</v>
      </c>
      <c r="D9" s="397">
        <f t="shared" si="0"/>
        <v>0</v>
      </c>
      <c r="E9" s="350">
        <v>0</v>
      </c>
      <c r="F9" s="350">
        <v>0</v>
      </c>
      <c r="G9" s="350">
        <v>0</v>
      </c>
      <c r="H9" s="350">
        <v>0</v>
      </c>
      <c r="I9" s="350">
        <v>0</v>
      </c>
      <c r="J9" s="350">
        <v>0</v>
      </c>
      <c r="K9" s="350">
        <v>0</v>
      </c>
      <c r="L9" s="397">
        <v>0</v>
      </c>
    </row>
    <row r="10" spans="1:255" s="89" customFormat="1" ht="52.5" customHeight="1" x14ac:dyDescent="0.25">
      <c r="A10" s="120">
        <v>4</v>
      </c>
      <c r="B10" s="121" t="s">
        <v>64</v>
      </c>
      <c r="C10" s="119" t="s">
        <v>141</v>
      </c>
      <c r="D10" s="397">
        <f t="shared" si="0"/>
        <v>561.07999999999993</v>
      </c>
      <c r="E10" s="350">
        <v>0</v>
      </c>
      <c r="F10" s="350">
        <v>20</v>
      </c>
      <c r="G10" s="350">
        <v>101.58</v>
      </c>
      <c r="H10" s="350">
        <v>13</v>
      </c>
      <c r="I10" s="350">
        <v>11.5</v>
      </c>
      <c r="J10" s="350">
        <v>400</v>
      </c>
      <c r="K10" s="350">
        <v>15</v>
      </c>
      <c r="L10" s="397">
        <v>0</v>
      </c>
    </row>
    <row r="11" spans="1:255" s="89" customFormat="1" ht="23.25" customHeight="1" x14ac:dyDescent="0.25">
      <c r="A11" s="120">
        <v>5</v>
      </c>
      <c r="B11" s="121" t="s">
        <v>65</v>
      </c>
      <c r="C11" s="119" t="s">
        <v>141</v>
      </c>
      <c r="D11" s="397">
        <f t="shared" si="0"/>
        <v>0</v>
      </c>
      <c r="E11" s="350">
        <v>0</v>
      </c>
      <c r="F11" s="350">
        <v>0</v>
      </c>
      <c r="G11" s="350">
        <v>0</v>
      </c>
      <c r="H11" s="350">
        <v>0</v>
      </c>
      <c r="I11" s="350">
        <v>0</v>
      </c>
      <c r="J11" s="350">
        <v>0</v>
      </c>
      <c r="K11" s="350">
        <v>0</v>
      </c>
      <c r="L11" s="397">
        <v>0</v>
      </c>
    </row>
    <row r="12" spans="1:255" s="89" customFormat="1" ht="52.5" customHeight="1" x14ac:dyDescent="0.25">
      <c r="A12" s="120">
        <v>6</v>
      </c>
      <c r="B12" s="121" t="s">
        <v>66</v>
      </c>
      <c r="C12" s="122" t="s">
        <v>142</v>
      </c>
      <c r="D12" s="397">
        <f t="shared" si="0"/>
        <v>2139.6750000000002</v>
      </c>
      <c r="E12" s="350">
        <v>627.66</v>
      </c>
      <c r="F12" s="350">
        <v>52.844999999999999</v>
      </c>
      <c r="G12" s="350">
        <v>544.32000000000005</v>
      </c>
      <c r="H12" s="350">
        <v>156.41999999999999</v>
      </c>
      <c r="I12" s="350">
        <v>252.72</v>
      </c>
      <c r="J12" s="350">
        <v>491.31</v>
      </c>
      <c r="K12" s="350">
        <v>14.4</v>
      </c>
      <c r="L12" s="397">
        <v>0</v>
      </c>
    </row>
    <row r="13" spans="1:255" s="17" customFormat="1" ht="23.25" customHeight="1" x14ac:dyDescent="0.25">
      <c r="A13" s="103" t="s">
        <v>31</v>
      </c>
      <c r="B13" s="123" t="s">
        <v>51</v>
      </c>
      <c r="C13" s="124"/>
      <c r="D13" s="446">
        <f>SUM(D14:D19)</f>
        <v>812.41956000000005</v>
      </c>
      <c r="E13" s="446">
        <f t="shared" ref="E13:L13" si="1">SUM(E14:E19)</f>
        <v>114.44703999999999</v>
      </c>
      <c r="F13" s="446">
        <f t="shared" si="1"/>
        <v>60.580480000000001</v>
      </c>
      <c r="G13" s="446">
        <f t="shared" si="1"/>
        <v>177.79884000000001</v>
      </c>
      <c r="H13" s="446">
        <f t="shared" si="1"/>
        <v>98.123239999999996</v>
      </c>
      <c r="I13" s="446">
        <f t="shared" si="1"/>
        <v>102.48056</v>
      </c>
      <c r="J13" s="446">
        <f t="shared" si="1"/>
        <v>188.52424000000002</v>
      </c>
      <c r="K13" s="446">
        <f t="shared" si="1"/>
        <v>62.551120000000004</v>
      </c>
      <c r="L13" s="446">
        <f t="shared" si="1"/>
        <v>7.91404</v>
      </c>
    </row>
    <row r="14" spans="1:255" ht="70.5" customHeight="1" x14ac:dyDescent="0.25">
      <c r="A14" s="105">
        <v>1</v>
      </c>
      <c r="B14" s="118" t="s">
        <v>140</v>
      </c>
      <c r="C14" s="119">
        <v>4.0000000000000001E-3</v>
      </c>
      <c r="D14" s="397">
        <f>SUM(E14:L14)</f>
        <v>228.84356000000002</v>
      </c>
      <c r="E14" s="397">
        <f t="shared" ref="E14:E19" si="2">$C14*E7</f>
        <v>15.714560000000001</v>
      </c>
      <c r="F14" s="397">
        <f t="shared" ref="F14:L14" si="3">$C14*F7</f>
        <v>23.899000000000001</v>
      </c>
      <c r="G14" s="397">
        <f t="shared" si="3"/>
        <v>23.737120000000004</v>
      </c>
      <c r="H14" s="397">
        <f t="shared" si="3"/>
        <v>34.371360000000003</v>
      </c>
      <c r="I14" s="397">
        <f t="shared" si="3"/>
        <v>34.242119999999993</v>
      </c>
      <c r="J14" s="397">
        <f t="shared" si="3"/>
        <v>42.095880000000008</v>
      </c>
      <c r="K14" s="397">
        <f t="shared" si="3"/>
        <v>46.869480000000003</v>
      </c>
      <c r="L14" s="397">
        <f t="shared" si="3"/>
        <v>7.91404</v>
      </c>
    </row>
    <row r="15" spans="1:255" ht="52.5" customHeight="1" x14ac:dyDescent="0.25">
      <c r="A15" s="105">
        <v>2</v>
      </c>
      <c r="B15" s="118" t="s">
        <v>62</v>
      </c>
      <c r="C15" s="119">
        <v>4.0000000000000001E-3</v>
      </c>
      <c r="D15" s="397">
        <f t="shared" ref="D15:D19" si="4">SUM(E15:L15)</f>
        <v>270.70700000000005</v>
      </c>
      <c r="E15" s="397">
        <f t="shared" si="2"/>
        <v>23.41328</v>
      </c>
      <c r="F15" s="397">
        <f t="shared" ref="F15:L15" si="5">$C15*F8</f>
        <v>28.340080000000004</v>
      </c>
      <c r="G15" s="397">
        <f t="shared" si="5"/>
        <v>78.58532000000001</v>
      </c>
      <c r="H15" s="397">
        <f t="shared" si="5"/>
        <v>43.681480000000008</v>
      </c>
      <c r="I15" s="397">
        <f t="shared" si="5"/>
        <v>36.762039999999999</v>
      </c>
      <c r="J15" s="397">
        <f t="shared" si="5"/>
        <v>47.471160000000005</v>
      </c>
      <c r="K15" s="397">
        <f t="shared" si="5"/>
        <v>12.453640000000002</v>
      </c>
      <c r="L15" s="397">
        <f t="shared" si="5"/>
        <v>0</v>
      </c>
    </row>
    <row r="16" spans="1:255" ht="36" customHeight="1" x14ac:dyDescent="0.25">
      <c r="A16" s="105">
        <v>3</v>
      </c>
      <c r="B16" s="118" t="s">
        <v>63</v>
      </c>
      <c r="C16" s="125">
        <v>1.6E-2</v>
      </c>
      <c r="D16" s="397">
        <f t="shared" si="4"/>
        <v>0</v>
      </c>
      <c r="E16" s="397">
        <f t="shared" si="2"/>
        <v>0</v>
      </c>
      <c r="F16" s="397">
        <f t="shared" ref="F16:L16" si="6">$C16*F9</f>
        <v>0</v>
      </c>
      <c r="G16" s="397">
        <f t="shared" si="6"/>
        <v>0</v>
      </c>
      <c r="H16" s="397">
        <f t="shared" si="6"/>
        <v>0</v>
      </c>
      <c r="I16" s="397">
        <f t="shared" si="6"/>
        <v>0</v>
      </c>
      <c r="J16" s="397">
        <f t="shared" si="6"/>
        <v>0</v>
      </c>
      <c r="K16" s="397">
        <f t="shared" si="6"/>
        <v>0</v>
      </c>
      <c r="L16" s="397">
        <f t="shared" si="6"/>
        <v>0</v>
      </c>
    </row>
    <row r="17" spans="1:12" ht="52.5" customHeight="1" x14ac:dyDescent="0.25">
      <c r="A17" s="105">
        <v>4</v>
      </c>
      <c r="B17" s="118" t="s">
        <v>64</v>
      </c>
      <c r="C17" s="126">
        <v>0.1</v>
      </c>
      <c r="D17" s="397">
        <f t="shared" si="4"/>
        <v>56.108000000000004</v>
      </c>
      <c r="E17" s="397">
        <f t="shared" si="2"/>
        <v>0</v>
      </c>
      <c r="F17" s="397">
        <f t="shared" ref="F17:L17" si="7">$C17*F10</f>
        <v>2</v>
      </c>
      <c r="G17" s="397">
        <f t="shared" si="7"/>
        <v>10.158000000000001</v>
      </c>
      <c r="H17" s="397">
        <f t="shared" si="7"/>
        <v>1.3</v>
      </c>
      <c r="I17" s="397">
        <f t="shared" si="7"/>
        <v>1.1500000000000001</v>
      </c>
      <c r="J17" s="397">
        <f t="shared" si="7"/>
        <v>40</v>
      </c>
      <c r="K17" s="397">
        <f t="shared" si="7"/>
        <v>1.5</v>
      </c>
      <c r="L17" s="397">
        <f t="shared" si="7"/>
        <v>0</v>
      </c>
    </row>
    <row r="18" spans="1:12" ht="23.25" customHeight="1" x14ac:dyDescent="0.25">
      <c r="A18" s="105">
        <v>5</v>
      </c>
      <c r="B18" s="118" t="s">
        <v>65</v>
      </c>
      <c r="C18" s="126">
        <v>0.3</v>
      </c>
      <c r="D18" s="397">
        <f t="shared" si="4"/>
        <v>0</v>
      </c>
      <c r="E18" s="397">
        <f t="shared" si="2"/>
        <v>0</v>
      </c>
      <c r="F18" s="397">
        <f t="shared" ref="F18:L18" si="8">$C18*F11</f>
        <v>0</v>
      </c>
      <c r="G18" s="397">
        <f t="shared" si="8"/>
        <v>0</v>
      </c>
      <c r="H18" s="397">
        <f t="shared" si="8"/>
        <v>0</v>
      </c>
      <c r="I18" s="397">
        <f t="shared" si="8"/>
        <v>0</v>
      </c>
      <c r="J18" s="397">
        <f t="shared" si="8"/>
        <v>0</v>
      </c>
      <c r="K18" s="397">
        <f t="shared" si="8"/>
        <v>0</v>
      </c>
      <c r="L18" s="397">
        <f t="shared" si="8"/>
        <v>0</v>
      </c>
    </row>
    <row r="19" spans="1:12" ht="52.5" customHeight="1" x14ac:dyDescent="0.25">
      <c r="A19" s="105">
        <v>6</v>
      </c>
      <c r="B19" s="118" t="s">
        <v>66</v>
      </c>
      <c r="C19" s="122">
        <v>0.12</v>
      </c>
      <c r="D19" s="397">
        <f t="shared" si="4"/>
        <v>256.76099999999997</v>
      </c>
      <c r="E19" s="397">
        <f t="shared" si="2"/>
        <v>75.319199999999995</v>
      </c>
      <c r="F19" s="397">
        <f t="shared" ref="F19:L19" si="9">$C19*F12</f>
        <v>6.3413999999999993</v>
      </c>
      <c r="G19" s="397">
        <f t="shared" si="9"/>
        <v>65.318399999999997</v>
      </c>
      <c r="H19" s="397">
        <f t="shared" si="9"/>
        <v>18.770399999999999</v>
      </c>
      <c r="I19" s="397">
        <f t="shared" si="9"/>
        <v>30.3264</v>
      </c>
      <c r="J19" s="397">
        <f t="shared" si="9"/>
        <v>58.9572</v>
      </c>
      <c r="K19" s="397">
        <f t="shared" si="9"/>
        <v>1.728</v>
      </c>
      <c r="L19" s="397">
        <f t="shared" si="9"/>
        <v>0</v>
      </c>
    </row>
    <row r="20" spans="1:12" s="21" customFormat="1" ht="23.25" customHeight="1" x14ac:dyDescent="0.25">
      <c r="A20" s="103" t="s">
        <v>54</v>
      </c>
      <c r="B20" s="109" t="s">
        <v>574</v>
      </c>
      <c r="C20" s="127"/>
      <c r="D20" s="444">
        <v>105131</v>
      </c>
      <c r="E20" s="444">
        <f>E21</f>
        <v>14810</v>
      </c>
      <c r="F20" s="444">
        <f t="shared" ref="F20:L20" si="10">F21</f>
        <v>7839</v>
      </c>
      <c r="G20" s="444">
        <f t="shared" si="10"/>
        <v>23008</v>
      </c>
      <c r="H20" s="444">
        <f t="shared" si="10"/>
        <v>12698</v>
      </c>
      <c r="I20" s="444">
        <f t="shared" si="10"/>
        <v>13261</v>
      </c>
      <c r="J20" s="444">
        <f t="shared" si="10"/>
        <v>24396</v>
      </c>
      <c r="K20" s="444">
        <f t="shared" si="10"/>
        <v>8094</v>
      </c>
      <c r="L20" s="444">
        <f t="shared" si="10"/>
        <v>1025</v>
      </c>
    </row>
    <row r="21" spans="1:12" s="22" customFormat="1" ht="23.25" customHeight="1" x14ac:dyDescent="0.25">
      <c r="A21" s="128">
        <v>1</v>
      </c>
      <c r="B21" s="129" t="s">
        <v>150</v>
      </c>
      <c r="C21" s="117" t="s">
        <v>55</v>
      </c>
      <c r="D21" s="178">
        <f>SUM(E21:L21)</f>
        <v>105131</v>
      </c>
      <c r="E21" s="350">
        <f>ROUND(($D$20/$D$13*E13),0)</f>
        <v>14810</v>
      </c>
      <c r="F21" s="350">
        <f t="shared" ref="F21:K21" si="11">ROUND(($D$20/$D$13*F13),0)</f>
        <v>7839</v>
      </c>
      <c r="G21" s="350">
        <f t="shared" si="11"/>
        <v>23008</v>
      </c>
      <c r="H21" s="350">
        <f t="shared" si="11"/>
        <v>12698</v>
      </c>
      <c r="I21" s="350">
        <f t="shared" si="11"/>
        <v>13261</v>
      </c>
      <c r="J21" s="350">
        <f t="shared" si="11"/>
        <v>24396</v>
      </c>
      <c r="K21" s="350">
        <f t="shared" si="11"/>
        <v>8094</v>
      </c>
      <c r="L21" s="350">
        <f>ROUND(($D$20/$D$13*L13),0)+1</f>
        <v>1025</v>
      </c>
    </row>
    <row r="22" spans="1:12" s="21" customFormat="1" ht="36" customHeight="1" x14ac:dyDescent="0.25">
      <c r="A22" s="113" t="s">
        <v>56</v>
      </c>
      <c r="B22" s="114" t="s">
        <v>550</v>
      </c>
      <c r="C22" s="127"/>
      <c r="D22" s="444">
        <v>0</v>
      </c>
      <c r="E22" s="444">
        <f>E23</f>
        <v>0</v>
      </c>
      <c r="F22" s="444">
        <f t="shared" ref="F22" si="12">F23</f>
        <v>0</v>
      </c>
      <c r="G22" s="444">
        <f t="shared" ref="G22" si="13">G23</f>
        <v>0</v>
      </c>
      <c r="H22" s="444">
        <f t="shared" ref="H22" si="14">H23</f>
        <v>0</v>
      </c>
      <c r="I22" s="444">
        <f t="shared" ref="I22" si="15">I23</f>
        <v>0</v>
      </c>
      <c r="J22" s="444">
        <f t="shared" ref="J22" si="16">J23</f>
        <v>0</v>
      </c>
      <c r="K22" s="444">
        <f t="shared" ref="K22" si="17">K23</f>
        <v>0</v>
      </c>
      <c r="L22" s="444">
        <f t="shared" ref="L22" si="18">L23</f>
        <v>0</v>
      </c>
    </row>
    <row r="23" spans="1:12" s="22" customFormat="1" ht="23.25" customHeight="1" x14ac:dyDescent="0.25">
      <c r="A23" s="128">
        <v>1</v>
      </c>
      <c r="B23" s="129" t="s">
        <v>150</v>
      </c>
      <c r="C23" s="117" t="s">
        <v>55</v>
      </c>
      <c r="D23" s="178">
        <f>SUM(E23:L23)</f>
        <v>0</v>
      </c>
      <c r="E23" s="350">
        <v>0</v>
      </c>
      <c r="F23" s="350">
        <v>0</v>
      </c>
      <c r="G23" s="350">
        <v>0</v>
      </c>
      <c r="H23" s="350">
        <v>0</v>
      </c>
      <c r="I23" s="350">
        <v>0</v>
      </c>
      <c r="J23" s="350">
        <v>0</v>
      </c>
      <c r="K23" s="350">
        <v>0</v>
      </c>
      <c r="L23" s="350">
        <v>0</v>
      </c>
    </row>
    <row r="24" spans="1:12" s="21" customFormat="1" ht="23.25" customHeight="1" x14ac:dyDescent="0.25">
      <c r="A24" s="113" t="s">
        <v>57</v>
      </c>
      <c r="B24" s="114" t="s">
        <v>261</v>
      </c>
      <c r="C24" s="127"/>
      <c r="D24" s="444">
        <f>D25</f>
        <v>105131</v>
      </c>
      <c r="E24" s="444">
        <f t="shared" ref="E24:L24" si="19">E25</f>
        <v>14810</v>
      </c>
      <c r="F24" s="444">
        <f t="shared" si="19"/>
        <v>7839</v>
      </c>
      <c r="G24" s="444">
        <f t="shared" si="19"/>
        <v>23008</v>
      </c>
      <c r="H24" s="444">
        <f t="shared" si="19"/>
        <v>12698</v>
      </c>
      <c r="I24" s="444">
        <f t="shared" si="19"/>
        <v>13261</v>
      </c>
      <c r="J24" s="444">
        <f t="shared" si="19"/>
        <v>24396</v>
      </c>
      <c r="K24" s="444">
        <f t="shared" si="19"/>
        <v>8094</v>
      </c>
      <c r="L24" s="444">
        <f t="shared" si="19"/>
        <v>1025</v>
      </c>
    </row>
    <row r="25" spans="1:12" s="22" customFormat="1" ht="23.25" customHeight="1" x14ac:dyDescent="0.25">
      <c r="A25" s="524">
        <v>1</v>
      </c>
      <c r="B25" s="525" t="s">
        <v>150</v>
      </c>
      <c r="C25" s="526" t="s">
        <v>55</v>
      </c>
      <c r="D25" s="527">
        <f>SUM(E25:L25)</f>
        <v>105131</v>
      </c>
      <c r="E25" s="528">
        <f>E21+E23</f>
        <v>14810</v>
      </c>
      <c r="F25" s="528">
        <f t="shared" ref="F25:L25" si="20">F21+F23</f>
        <v>7839</v>
      </c>
      <c r="G25" s="528">
        <f t="shared" si="20"/>
        <v>23008</v>
      </c>
      <c r="H25" s="528">
        <f t="shared" si="20"/>
        <v>12698</v>
      </c>
      <c r="I25" s="528">
        <f t="shared" si="20"/>
        <v>13261</v>
      </c>
      <c r="J25" s="528">
        <f t="shared" si="20"/>
        <v>24396</v>
      </c>
      <c r="K25" s="528">
        <f t="shared" si="20"/>
        <v>8094</v>
      </c>
      <c r="L25" s="528">
        <f t="shared" si="20"/>
        <v>1025</v>
      </c>
    </row>
    <row r="26" spans="1:12" s="21" customFormat="1" ht="36" hidden="1" customHeight="1" x14ac:dyDescent="0.25">
      <c r="A26" s="520" t="s">
        <v>478</v>
      </c>
      <c r="B26" s="521" t="s">
        <v>573</v>
      </c>
      <c r="C26" s="522"/>
      <c r="D26" s="523">
        <f>D27</f>
        <v>94587.58649999999</v>
      </c>
      <c r="E26" s="523">
        <f t="shared" ref="E26" si="21">E27</f>
        <v>15195.663999999999</v>
      </c>
      <c r="F26" s="523">
        <f t="shared" ref="F26" si="22">F27</f>
        <v>6419.9930000000004</v>
      </c>
      <c r="G26" s="523">
        <f t="shared" ref="G26" si="23">G27</f>
        <v>21045.804</v>
      </c>
      <c r="H26" s="523">
        <f t="shared" ref="H26" si="24">H27</f>
        <v>10563.961499999999</v>
      </c>
      <c r="I26" s="523">
        <f t="shared" ref="I26" si="25">I27</f>
        <v>11981.196500000002</v>
      </c>
      <c r="J26" s="523">
        <f t="shared" ref="J26" si="26">J27</f>
        <v>22183.637500000001</v>
      </c>
      <c r="K26" s="523">
        <f t="shared" ref="K26" si="27">K27</f>
        <v>6405.9260000000004</v>
      </c>
      <c r="L26" s="523">
        <f t="shared" ref="L26" si="28">L27</f>
        <v>791.40400000000011</v>
      </c>
    </row>
    <row r="27" spans="1:12" s="22" customFormat="1" ht="23.25" hidden="1" customHeight="1" x14ac:dyDescent="0.25">
      <c r="A27" s="438">
        <v>1</v>
      </c>
      <c r="B27" s="439" t="s">
        <v>150</v>
      </c>
      <c r="C27" s="440" t="s">
        <v>55</v>
      </c>
      <c r="D27" s="447">
        <f>SUM(E27:L27)</f>
        <v>94587.58649999999</v>
      </c>
      <c r="E27" s="448">
        <v>15195.663999999999</v>
      </c>
      <c r="F27" s="448">
        <v>6419.9930000000004</v>
      </c>
      <c r="G27" s="448">
        <v>21045.804</v>
      </c>
      <c r="H27" s="448">
        <v>10563.961499999999</v>
      </c>
      <c r="I27" s="448">
        <v>11981.196500000002</v>
      </c>
      <c r="J27" s="448">
        <v>22183.637500000001</v>
      </c>
      <c r="K27" s="448">
        <v>6405.9260000000004</v>
      </c>
      <c r="L27" s="448">
        <v>791.40400000000011</v>
      </c>
    </row>
    <row r="28" spans="1:12" s="21" customFormat="1" ht="36" hidden="1" customHeight="1" x14ac:dyDescent="0.25">
      <c r="A28" s="430" t="s">
        <v>497</v>
      </c>
      <c r="B28" s="431" t="s">
        <v>572</v>
      </c>
      <c r="C28" s="437"/>
      <c r="D28" s="445">
        <f>D29</f>
        <v>10543.413499999997</v>
      </c>
      <c r="E28" s="445">
        <f t="shared" ref="E28" si="29">E29</f>
        <v>-385.66399999999885</v>
      </c>
      <c r="F28" s="445">
        <f t="shared" ref="F28" si="30">F29</f>
        <v>1419.0069999999996</v>
      </c>
      <c r="G28" s="445">
        <f t="shared" ref="G28" si="31">G29</f>
        <v>1962.1959999999999</v>
      </c>
      <c r="H28" s="445">
        <f t="shared" ref="H28" si="32">H29</f>
        <v>2134.0385000000006</v>
      </c>
      <c r="I28" s="445">
        <f t="shared" ref="I28" si="33">I29</f>
        <v>1279.8034999999982</v>
      </c>
      <c r="J28" s="445">
        <f t="shared" ref="J28" si="34">J29</f>
        <v>2212.3624999999993</v>
      </c>
      <c r="K28" s="445">
        <f t="shared" ref="K28" si="35">K29</f>
        <v>1688.0739999999996</v>
      </c>
      <c r="L28" s="445">
        <f t="shared" ref="L28" si="36">L29</f>
        <v>233.59599999999989</v>
      </c>
    </row>
    <row r="29" spans="1:12" s="22" customFormat="1" ht="23.25" hidden="1" customHeight="1" x14ac:dyDescent="0.25">
      <c r="A29" s="441">
        <v>1</v>
      </c>
      <c r="B29" s="442" t="s">
        <v>150</v>
      </c>
      <c r="C29" s="443" t="s">
        <v>55</v>
      </c>
      <c r="D29" s="449">
        <f>SUM(E29:L29)</f>
        <v>10543.413499999997</v>
      </c>
      <c r="E29" s="450">
        <f>E25-E27</f>
        <v>-385.66399999999885</v>
      </c>
      <c r="F29" s="450">
        <f t="shared" ref="F29:L29" si="37">F25-F27</f>
        <v>1419.0069999999996</v>
      </c>
      <c r="G29" s="450">
        <f t="shared" si="37"/>
        <v>1962.1959999999999</v>
      </c>
      <c r="H29" s="450">
        <f t="shared" si="37"/>
        <v>2134.0385000000006</v>
      </c>
      <c r="I29" s="450">
        <f t="shared" si="37"/>
        <v>1279.8034999999982</v>
      </c>
      <c r="J29" s="450">
        <f t="shared" si="37"/>
        <v>2212.3624999999993</v>
      </c>
      <c r="K29" s="450">
        <f t="shared" si="37"/>
        <v>1688.0739999999996</v>
      </c>
      <c r="L29" s="450">
        <f t="shared" si="37"/>
        <v>233.59599999999989</v>
      </c>
    </row>
  </sheetData>
  <mergeCells count="24">
    <mergeCell ref="HH2:HS2"/>
    <mergeCell ref="HT2:IE2"/>
    <mergeCell ref="X2:AI2"/>
    <mergeCell ref="FL2:FW2"/>
    <mergeCell ref="AJ2:AU2"/>
    <mergeCell ref="AV2:BG2"/>
    <mergeCell ref="BH2:BS2"/>
    <mergeCell ref="BT2:CE2"/>
    <mergeCell ref="I1:L1"/>
    <mergeCell ref="A2:L2"/>
    <mergeCell ref="A3:L3"/>
    <mergeCell ref="IR2:IU2"/>
    <mergeCell ref="A4:K4"/>
    <mergeCell ref="FX2:GI2"/>
    <mergeCell ref="IF2:IQ2"/>
    <mergeCell ref="DD2:DO2"/>
    <mergeCell ref="DP2:EA2"/>
    <mergeCell ref="EB2:EM2"/>
    <mergeCell ref="EN2:EY2"/>
    <mergeCell ref="EZ2:FK2"/>
    <mergeCell ref="CF2:CQ2"/>
    <mergeCell ref="CR2:DC2"/>
    <mergeCell ref="GJ2:GU2"/>
    <mergeCell ref="GV2:HG2"/>
  </mergeCells>
  <pageMargins left="0.59055118110236227" right="0.39370078740157483" top="0.59055118110236227" bottom="0.39370078740157483" header="0.31496062992125984" footer="0.31496062992125984"/>
  <pageSetup paperSize="9" scale="79" firstPageNumber="163" fitToHeight="0" orientation="landscape" useFirstPageNumber="1" r:id="rId1"/>
  <headerFooter>
    <oddHeader>&amp;C&amp;P</oddHeader>
  </headerFooter>
  <colBreaks count="1" manualBreakCount="1">
    <brk id="12"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M30"/>
  <sheetViews>
    <sheetView view="pageBreakPreview" zoomScale="60" zoomScaleNormal="70" zoomScalePageLayoutView="55" workbookViewId="0">
      <selection activeCell="B44" sqref="B44"/>
    </sheetView>
  </sheetViews>
  <sheetFormatPr defaultColWidth="9" defaultRowHeight="15.75" x14ac:dyDescent="0.25"/>
  <cols>
    <col min="1" max="1" width="5.375" style="28" customWidth="1"/>
    <col min="2" max="2" width="41.625" style="28" customWidth="1"/>
    <col min="3" max="3" width="11.125" style="29" customWidth="1"/>
    <col min="4" max="6" width="10.375" style="28" customWidth="1"/>
    <col min="7" max="7" width="10.375" style="29" customWidth="1"/>
    <col min="8" max="22" width="10.375" style="28" customWidth="1"/>
    <col min="23" max="23" width="17.125" style="28" customWidth="1"/>
    <col min="24" max="16384" width="9" style="28"/>
  </cols>
  <sheetData>
    <row r="1" spans="1:247" s="27" customFormat="1" ht="37.5" customHeight="1" x14ac:dyDescent="0.25">
      <c r="A1" s="23"/>
      <c r="B1" s="23"/>
      <c r="C1" s="356"/>
      <c r="D1" s="24"/>
      <c r="E1" s="24"/>
      <c r="F1" s="357"/>
      <c r="G1" s="30"/>
      <c r="H1" s="354"/>
      <c r="I1" s="4"/>
      <c r="J1" s="4"/>
      <c r="K1" s="4"/>
      <c r="N1" s="357"/>
      <c r="T1" s="789" t="s">
        <v>612</v>
      </c>
      <c r="U1" s="790"/>
      <c r="V1" s="790"/>
      <c r="W1" s="790"/>
    </row>
    <row r="2" spans="1:247" s="27" customFormat="1" ht="21" customHeight="1" x14ac:dyDescent="0.25">
      <c r="A2" s="791" t="s">
        <v>61</v>
      </c>
      <c r="B2" s="791"/>
      <c r="C2" s="791"/>
      <c r="D2" s="791"/>
      <c r="E2" s="791"/>
      <c r="F2" s="791"/>
      <c r="G2" s="791"/>
      <c r="H2" s="791"/>
      <c r="I2" s="791"/>
      <c r="J2" s="791"/>
      <c r="K2" s="791"/>
      <c r="L2" s="791"/>
      <c r="M2" s="791"/>
      <c r="N2" s="791"/>
      <c r="O2" s="791"/>
      <c r="P2" s="791"/>
      <c r="Q2" s="791"/>
      <c r="R2" s="791"/>
      <c r="S2" s="791"/>
      <c r="T2" s="791"/>
      <c r="U2" s="791"/>
      <c r="V2" s="791"/>
      <c r="W2" s="791"/>
      <c r="X2" s="58"/>
      <c r="Y2" s="58"/>
      <c r="Z2" s="58"/>
      <c r="AA2" s="796"/>
      <c r="AB2" s="796"/>
      <c r="AC2" s="796"/>
      <c r="AD2" s="796"/>
      <c r="AE2" s="796"/>
      <c r="AF2" s="796"/>
      <c r="AG2" s="796"/>
      <c r="AH2" s="796"/>
      <c r="AI2" s="796"/>
      <c r="AJ2" s="796"/>
      <c r="AK2" s="796"/>
      <c r="AL2" s="796"/>
      <c r="AM2" s="796"/>
      <c r="AN2" s="796"/>
      <c r="AO2" s="796"/>
      <c r="AP2" s="796"/>
      <c r="AQ2" s="796"/>
      <c r="AR2" s="796"/>
      <c r="AS2" s="796"/>
      <c r="AT2" s="796"/>
      <c r="AU2" s="796"/>
      <c r="AV2" s="796"/>
      <c r="AW2" s="796"/>
      <c r="AX2" s="796"/>
      <c r="AY2" s="796"/>
      <c r="AZ2" s="796"/>
      <c r="BA2" s="796"/>
      <c r="BB2" s="796"/>
      <c r="BC2" s="796"/>
      <c r="BD2" s="796"/>
      <c r="BE2" s="796"/>
      <c r="BF2" s="796"/>
      <c r="BG2" s="796"/>
      <c r="BH2" s="796"/>
      <c r="BI2" s="796"/>
      <c r="BJ2" s="796"/>
      <c r="BK2" s="796"/>
      <c r="BL2" s="796"/>
      <c r="BM2" s="796"/>
      <c r="BN2" s="796"/>
      <c r="BO2" s="796"/>
      <c r="BP2" s="796"/>
      <c r="BQ2" s="796"/>
      <c r="BR2" s="796"/>
      <c r="BS2" s="796"/>
      <c r="BT2" s="796"/>
      <c r="BU2" s="796"/>
      <c r="BV2" s="796"/>
      <c r="BW2" s="796"/>
      <c r="BX2" s="796"/>
      <c r="BY2" s="796"/>
      <c r="BZ2" s="796"/>
      <c r="CA2" s="796"/>
      <c r="CB2" s="796"/>
      <c r="CC2" s="796"/>
      <c r="CD2" s="796"/>
      <c r="CE2" s="796"/>
      <c r="CF2" s="796"/>
      <c r="CG2" s="796"/>
      <c r="CH2" s="796"/>
      <c r="CI2" s="796"/>
      <c r="CJ2" s="796"/>
      <c r="CK2" s="796"/>
      <c r="CL2" s="796"/>
      <c r="CM2" s="796"/>
      <c r="CN2" s="796"/>
      <c r="CO2" s="796"/>
      <c r="CP2" s="796"/>
      <c r="CQ2" s="796"/>
      <c r="CR2" s="796"/>
      <c r="CS2" s="796"/>
      <c r="CT2" s="796"/>
      <c r="CU2" s="796"/>
      <c r="CV2" s="796"/>
      <c r="CW2" s="796"/>
      <c r="CX2" s="796"/>
      <c r="CY2" s="796"/>
      <c r="CZ2" s="796"/>
      <c r="DA2" s="796"/>
      <c r="DB2" s="796"/>
      <c r="DC2" s="796"/>
      <c r="DD2" s="796"/>
      <c r="DE2" s="796"/>
      <c r="DF2" s="796"/>
      <c r="DG2" s="796"/>
      <c r="DH2" s="796"/>
      <c r="DI2" s="796"/>
      <c r="DJ2" s="796"/>
      <c r="DK2" s="796"/>
      <c r="DL2" s="796"/>
      <c r="DM2" s="796"/>
      <c r="DN2" s="796"/>
      <c r="DO2" s="796"/>
      <c r="DP2" s="796"/>
      <c r="DQ2" s="796"/>
      <c r="DR2" s="796"/>
      <c r="DS2" s="796"/>
      <c r="DT2" s="796"/>
      <c r="DU2" s="796"/>
      <c r="DV2" s="796"/>
      <c r="DW2" s="796"/>
      <c r="DX2" s="796"/>
      <c r="DY2" s="796"/>
      <c r="DZ2" s="796"/>
      <c r="EA2" s="796"/>
      <c r="EB2" s="796"/>
      <c r="EC2" s="796"/>
      <c r="ED2" s="796"/>
      <c r="EE2" s="796"/>
      <c r="EF2" s="796"/>
      <c r="EG2" s="796"/>
      <c r="EH2" s="796"/>
      <c r="EI2" s="796"/>
      <c r="EJ2" s="796"/>
      <c r="EK2" s="796"/>
      <c r="EL2" s="796"/>
      <c r="EM2" s="796"/>
      <c r="EN2" s="796"/>
      <c r="EO2" s="796"/>
      <c r="EP2" s="796"/>
      <c r="EQ2" s="796"/>
      <c r="ER2" s="796"/>
      <c r="ES2" s="796"/>
      <c r="ET2" s="796"/>
      <c r="EU2" s="796"/>
      <c r="EV2" s="796"/>
      <c r="EW2" s="796"/>
      <c r="EX2" s="796"/>
      <c r="EY2" s="796"/>
      <c r="EZ2" s="796"/>
      <c r="FA2" s="796"/>
      <c r="FB2" s="796"/>
      <c r="FC2" s="796"/>
      <c r="FD2" s="796"/>
      <c r="FE2" s="796"/>
      <c r="FF2" s="796"/>
      <c r="FG2" s="796"/>
      <c r="FH2" s="796"/>
      <c r="FI2" s="796"/>
      <c r="FJ2" s="796"/>
      <c r="FK2" s="796"/>
      <c r="FL2" s="796"/>
      <c r="FM2" s="796"/>
      <c r="FN2" s="796"/>
      <c r="FO2" s="796"/>
      <c r="FP2" s="796"/>
      <c r="FQ2" s="796"/>
      <c r="FR2" s="796"/>
      <c r="FS2" s="796"/>
      <c r="FT2" s="796"/>
      <c r="FU2" s="796"/>
      <c r="FV2" s="796"/>
      <c r="FW2" s="796"/>
      <c r="FX2" s="796"/>
      <c r="FY2" s="796"/>
      <c r="FZ2" s="796"/>
      <c r="GA2" s="796"/>
      <c r="GB2" s="796"/>
      <c r="GC2" s="796"/>
      <c r="GD2" s="796"/>
      <c r="GE2" s="796"/>
      <c r="GF2" s="796"/>
      <c r="GG2" s="796"/>
      <c r="GH2" s="796"/>
      <c r="GI2" s="796"/>
      <c r="GJ2" s="796"/>
      <c r="GK2" s="796"/>
      <c r="GL2" s="796"/>
      <c r="GM2" s="796"/>
      <c r="GN2" s="796"/>
      <c r="GO2" s="796"/>
      <c r="GP2" s="796"/>
      <c r="GQ2" s="796"/>
      <c r="GR2" s="796"/>
      <c r="GS2" s="796"/>
      <c r="GT2" s="796"/>
      <c r="GU2" s="796"/>
      <c r="GV2" s="796"/>
      <c r="GW2" s="796"/>
      <c r="GX2" s="796"/>
      <c r="GY2" s="796"/>
      <c r="GZ2" s="796"/>
      <c r="HA2" s="796"/>
      <c r="HB2" s="796"/>
      <c r="HC2" s="796"/>
      <c r="HD2" s="796"/>
      <c r="HE2" s="796"/>
      <c r="HF2" s="796"/>
      <c r="HG2" s="796"/>
      <c r="HH2" s="796"/>
      <c r="HI2" s="796"/>
      <c r="HJ2" s="796"/>
      <c r="HK2" s="796"/>
      <c r="HL2" s="796"/>
      <c r="HM2" s="796"/>
      <c r="HN2" s="796"/>
      <c r="HO2" s="796"/>
      <c r="HP2" s="796"/>
      <c r="HQ2" s="796"/>
      <c r="HR2" s="796"/>
      <c r="HS2" s="796"/>
      <c r="HT2" s="796"/>
      <c r="HU2" s="796"/>
      <c r="HV2" s="796"/>
      <c r="HW2" s="796"/>
      <c r="HX2" s="796"/>
      <c r="HY2" s="796"/>
      <c r="HZ2" s="796"/>
      <c r="IA2" s="796"/>
      <c r="IB2" s="796"/>
      <c r="IC2" s="796"/>
      <c r="ID2" s="796"/>
      <c r="IE2" s="796"/>
      <c r="IF2" s="796"/>
      <c r="IG2" s="796"/>
      <c r="IH2" s="796"/>
      <c r="II2" s="796"/>
      <c r="IJ2" s="796"/>
      <c r="IK2" s="796"/>
      <c r="IL2" s="796"/>
      <c r="IM2" s="796"/>
    </row>
    <row r="3" spans="1:247" s="27" customFormat="1" ht="21" customHeight="1" x14ac:dyDescent="0.25">
      <c r="A3" s="791" t="s">
        <v>68</v>
      </c>
      <c r="B3" s="791"/>
      <c r="C3" s="791"/>
      <c r="D3" s="791"/>
      <c r="E3" s="791"/>
      <c r="F3" s="791"/>
      <c r="G3" s="791"/>
      <c r="H3" s="791"/>
      <c r="I3" s="791"/>
      <c r="J3" s="791"/>
      <c r="K3" s="791"/>
      <c r="L3" s="791"/>
      <c r="M3" s="791"/>
      <c r="N3" s="791"/>
      <c r="O3" s="791"/>
      <c r="P3" s="791"/>
      <c r="Q3" s="791"/>
      <c r="R3" s="791"/>
      <c r="S3" s="791"/>
      <c r="T3" s="791"/>
      <c r="U3" s="791"/>
      <c r="V3" s="791"/>
      <c r="W3" s="791"/>
      <c r="X3" s="58"/>
      <c r="Y3" s="58"/>
      <c r="Z3" s="58"/>
      <c r="AA3" s="796"/>
      <c r="AB3" s="796"/>
      <c r="AC3" s="796"/>
      <c r="AD3" s="796"/>
      <c r="AE3" s="796"/>
      <c r="AF3" s="796"/>
      <c r="AG3" s="796"/>
      <c r="AH3" s="796"/>
      <c r="AI3" s="796"/>
      <c r="AJ3" s="796"/>
      <c r="AK3" s="796"/>
      <c r="AL3" s="796"/>
      <c r="AM3" s="796"/>
      <c r="AN3" s="796"/>
      <c r="AO3" s="796"/>
      <c r="AP3" s="796"/>
      <c r="AQ3" s="796"/>
      <c r="AR3" s="796"/>
      <c r="AS3" s="796"/>
      <c r="AT3" s="796"/>
      <c r="AU3" s="796"/>
      <c r="AV3" s="796"/>
      <c r="AW3" s="796"/>
      <c r="AX3" s="796"/>
      <c r="AY3" s="796"/>
      <c r="AZ3" s="796"/>
      <c r="BA3" s="796"/>
      <c r="BB3" s="796"/>
      <c r="BC3" s="796"/>
      <c r="BD3" s="796"/>
      <c r="BE3" s="796"/>
      <c r="BF3" s="796"/>
      <c r="BG3" s="796"/>
      <c r="BH3" s="796"/>
      <c r="BI3" s="796"/>
      <c r="BJ3" s="796"/>
      <c r="BK3" s="796"/>
      <c r="BL3" s="796"/>
      <c r="BM3" s="796"/>
      <c r="BN3" s="796"/>
      <c r="BO3" s="796"/>
      <c r="BP3" s="796"/>
      <c r="BQ3" s="796"/>
      <c r="BR3" s="796"/>
      <c r="BS3" s="796"/>
      <c r="BT3" s="796"/>
      <c r="BU3" s="796"/>
      <c r="BV3" s="796"/>
      <c r="BW3" s="796"/>
      <c r="BX3" s="796"/>
      <c r="BY3" s="796"/>
      <c r="BZ3" s="796"/>
      <c r="CA3" s="796"/>
      <c r="CB3" s="796"/>
      <c r="CC3" s="796"/>
      <c r="CD3" s="796"/>
      <c r="CE3" s="796"/>
      <c r="CF3" s="796"/>
      <c r="CG3" s="796"/>
      <c r="CH3" s="796"/>
      <c r="CI3" s="796"/>
      <c r="CJ3" s="796"/>
      <c r="CK3" s="796"/>
      <c r="CL3" s="796"/>
      <c r="CM3" s="796"/>
      <c r="CN3" s="796"/>
      <c r="CO3" s="796"/>
      <c r="CP3" s="796"/>
      <c r="CQ3" s="796"/>
      <c r="CR3" s="796"/>
      <c r="CS3" s="796"/>
      <c r="CT3" s="796"/>
      <c r="CU3" s="796"/>
      <c r="CV3" s="796"/>
      <c r="CW3" s="796"/>
      <c r="CX3" s="796"/>
      <c r="CY3" s="796"/>
      <c r="CZ3" s="796"/>
      <c r="DA3" s="796"/>
      <c r="DB3" s="796"/>
      <c r="DC3" s="796"/>
      <c r="DD3" s="796"/>
      <c r="DE3" s="796"/>
      <c r="DF3" s="796"/>
      <c r="DG3" s="796"/>
      <c r="DH3" s="796"/>
      <c r="DI3" s="796"/>
      <c r="DJ3" s="796"/>
      <c r="DK3" s="796"/>
      <c r="DL3" s="796"/>
      <c r="DM3" s="796"/>
      <c r="DN3" s="796"/>
      <c r="DO3" s="796"/>
      <c r="DP3" s="796"/>
      <c r="DQ3" s="796"/>
      <c r="DR3" s="796"/>
      <c r="DS3" s="796"/>
      <c r="DT3" s="796"/>
      <c r="DU3" s="796"/>
      <c r="DV3" s="796"/>
      <c r="DW3" s="796"/>
      <c r="DX3" s="796"/>
      <c r="DY3" s="796"/>
      <c r="DZ3" s="796"/>
      <c r="EA3" s="796"/>
      <c r="EB3" s="796"/>
      <c r="EC3" s="796"/>
      <c r="ED3" s="796"/>
      <c r="EE3" s="796"/>
      <c r="EF3" s="796"/>
      <c r="EG3" s="796"/>
      <c r="EH3" s="796"/>
      <c r="EI3" s="796"/>
      <c r="EJ3" s="796"/>
      <c r="EK3" s="796"/>
      <c r="EL3" s="796"/>
      <c r="EM3" s="796"/>
      <c r="EN3" s="796"/>
      <c r="EO3" s="796"/>
      <c r="EP3" s="796"/>
      <c r="EQ3" s="796"/>
      <c r="ER3" s="796"/>
      <c r="ES3" s="796"/>
      <c r="ET3" s="796"/>
      <c r="EU3" s="796"/>
      <c r="EV3" s="796"/>
      <c r="EW3" s="796"/>
      <c r="EX3" s="796"/>
      <c r="EY3" s="796"/>
      <c r="EZ3" s="796"/>
      <c r="FA3" s="796"/>
      <c r="FB3" s="796"/>
      <c r="FC3" s="796"/>
      <c r="FD3" s="796"/>
      <c r="FE3" s="796"/>
      <c r="FF3" s="796"/>
      <c r="FG3" s="796"/>
      <c r="FH3" s="796"/>
      <c r="FI3" s="796"/>
      <c r="FJ3" s="796"/>
      <c r="FK3" s="796"/>
      <c r="FL3" s="796"/>
      <c r="FM3" s="796"/>
      <c r="FN3" s="796"/>
      <c r="FO3" s="796"/>
      <c r="FP3" s="796"/>
      <c r="FQ3" s="796"/>
      <c r="FR3" s="796"/>
      <c r="FS3" s="796"/>
      <c r="FT3" s="796"/>
      <c r="FU3" s="796"/>
      <c r="FV3" s="796"/>
      <c r="FW3" s="796"/>
      <c r="FX3" s="796"/>
      <c r="FY3" s="796"/>
      <c r="FZ3" s="796"/>
      <c r="GA3" s="796"/>
      <c r="GB3" s="796"/>
      <c r="GC3" s="796"/>
      <c r="GD3" s="796"/>
      <c r="GE3" s="796"/>
      <c r="GF3" s="796"/>
      <c r="GG3" s="796"/>
      <c r="GH3" s="796"/>
      <c r="GI3" s="796"/>
      <c r="GJ3" s="796"/>
      <c r="GK3" s="796"/>
      <c r="GL3" s="796"/>
      <c r="GM3" s="796"/>
      <c r="GN3" s="796"/>
      <c r="GO3" s="796"/>
      <c r="GP3" s="796"/>
      <c r="GQ3" s="796"/>
      <c r="GR3" s="796"/>
      <c r="GS3" s="796"/>
      <c r="GT3" s="796"/>
      <c r="GU3" s="796"/>
      <c r="GV3" s="796"/>
      <c r="GW3" s="796"/>
      <c r="GX3" s="796"/>
      <c r="GY3" s="796"/>
      <c r="GZ3" s="796"/>
      <c r="HA3" s="796"/>
      <c r="HB3" s="796"/>
      <c r="HC3" s="796"/>
      <c r="HD3" s="796"/>
      <c r="HE3" s="796"/>
      <c r="HF3" s="796"/>
      <c r="HG3" s="796"/>
      <c r="HH3" s="796"/>
      <c r="HI3" s="796"/>
      <c r="HJ3" s="796"/>
      <c r="HK3" s="796"/>
      <c r="HL3" s="796"/>
      <c r="HM3" s="796"/>
      <c r="HN3" s="796"/>
      <c r="HO3" s="796"/>
      <c r="HP3" s="796"/>
      <c r="HQ3" s="796"/>
      <c r="HR3" s="796"/>
      <c r="HS3" s="796"/>
      <c r="HT3" s="796"/>
      <c r="HU3" s="796"/>
      <c r="HV3" s="796"/>
      <c r="HW3" s="796"/>
      <c r="HX3" s="796"/>
      <c r="HY3" s="796"/>
      <c r="HZ3" s="796"/>
      <c r="IA3" s="796"/>
      <c r="IB3" s="796"/>
      <c r="IC3" s="796"/>
      <c r="ID3" s="796"/>
      <c r="IE3" s="796"/>
      <c r="IF3" s="796"/>
      <c r="IG3" s="796"/>
      <c r="IH3" s="796"/>
      <c r="II3" s="796"/>
      <c r="IJ3" s="796"/>
      <c r="IK3" s="796"/>
      <c r="IL3" s="796"/>
      <c r="IM3" s="796"/>
    </row>
    <row r="4" spans="1:247" s="27" customFormat="1" ht="46.5" customHeight="1" x14ac:dyDescent="0.25">
      <c r="A4" s="792" t="str">
        <f>'B4-TDA1,DA3'!A4:K4</f>
        <v>(Kèm theo Báo cáo số:          /BC-UBND ngày          tháng 11 năm 2023 của UBND tỉnh)</v>
      </c>
      <c r="B4" s="792"/>
      <c r="C4" s="792"/>
      <c r="D4" s="792"/>
      <c r="E4" s="792"/>
      <c r="F4" s="792"/>
      <c r="G4" s="792"/>
      <c r="H4" s="792"/>
      <c r="I4" s="792"/>
      <c r="J4" s="792"/>
      <c r="K4" s="792"/>
      <c r="L4" s="792"/>
      <c r="M4" s="792"/>
      <c r="N4" s="792"/>
      <c r="O4" s="792"/>
      <c r="P4" s="792"/>
      <c r="Q4" s="792"/>
      <c r="R4" s="792"/>
      <c r="S4" s="792"/>
      <c r="T4" s="792"/>
      <c r="U4" s="792"/>
      <c r="V4" s="792"/>
      <c r="W4" s="792"/>
      <c r="X4" s="58"/>
      <c r="Y4" s="58"/>
      <c r="Z4" s="58"/>
      <c r="AA4" s="796"/>
      <c r="AB4" s="796"/>
      <c r="AC4" s="796"/>
      <c r="AD4" s="796"/>
      <c r="AE4" s="796"/>
      <c r="AF4" s="796"/>
      <c r="AG4" s="796"/>
      <c r="AH4" s="796"/>
      <c r="AI4" s="796"/>
      <c r="AJ4" s="796"/>
      <c r="AK4" s="796"/>
      <c r="AL4" s="796"/>
      <c r="AM4" s="796"/>
      <c r="AN4" s="796"/>
      <c r="AO4" s="796"/>
      <c r="AP4" s="796"/>
      <c r="AQ4" s="796"/>
      <c r="AR4" s="796"/>
      <c r="AS4" s="796"/>
      <c r="AT4" s="796"/>
      <c r="AU4" s="796"/>
      <c r="AV4" s="796"/>
      <c r="AW4" s="796"/>
      <c r="AX4" s="796"/>
      <c r="AY4" s="796"/>
      <c r="AZ4" s="796"/>
      <c r="BA4" s="796"/>
      <c r="BB4" s="796"/>
      <c r="BC4" s="796"/>
      <c r="BD4" s="796"/>
      <c r="BE4" s="796"/>
      <c r="BF4" s="796"/>
      <c r="BG4" s="796"/>
      <c r="BH4" s="796"/>
      <c r="BI4" s="796"/>
      <c r="BJ4" s="796"/>
      <c r="BK4" s="796"/>
      <c r="BL4" s="796"/>
      <c r="BM4" s="796"/>
      <c r="BN4" s="796"/>
      <c r="BO4" s="796"/>
      <c r="BP4" s="796"/>
      <c r="BQ4" s="796"/>
      <c r="BR4" s="796"/>
      <c r="BS4" s="796"/>
      <c r="BT4" s="796"/>
      <c r="BU4" s="796"/>
      <c r="BV4" s="796"/>
      <c r="BW4" s="796"/>
      <c r="BX4" s="796"/>
      <c r="BY4" s="796"/>
      <c r="BZ4" s="796"/>
      <c r="CA4" s="796"/>
      <c r="CB4" s="796"/>
      <c r="CC4" s="796"/>
      <c r="CD4" s="796"/>
      <c r="CE4" s="796"/>
      <c r="CF4" s="796"/>
      <c r="CG4" s="796"/>
      <c r="CH4" s="796"/>
      <c r="CI4" s="796"/>
      <c r="CJ4" s="796"/>
      <c r="CK4" s="796"/>
      <c r="CL4" s="796"/>
      <c r="CM4" s="796"/>
      <c r="CN4" s="796"/>
      <c r="CO4" s="796"/>
      <c r="CP4" s="796"/>
      <c r="CQ4" s="796"/>
      <c r="CR4" s="796"/>
      <c r="CS4" s="796"/>
      <c r="CT4" s="796"/>
      <c r="CU4" s="796"/>
      <c r="CV4" s="796"/>
      <c r="CW4" s="796"/>
      <c r="CX4" s="796"/>
      <c r="CY4" s="796"/>
      <c r="CZ4" s="796"/>
      <c r="DA4" s="796"/>
      <c r="DB4" s="796"/>
      <c r="DC4" s="796"/>
      <c r="DD4" s="796"/>
      <c r="DE4" s="796"/>
      <c r="DF4" s="796"/>
      <c r="DG4" s="796"/>
      <c r="DH4" s="796"/>
      <c r="DI4" s="796"/>
      <c r="DJ4" s="796"/>
      <c r="DK4" s="796"/>
      <c r="DL4" s="796"/>
      <c r="DM4" s="796"/>
      <c r="DN4" s="796"/>
      <c r="DO4" s="796"/>
      <c r="DP4" s="796"/>
      <c r="DQ4" s="796"/>
      <c r="DR4" s="796"/>
      <c r="DS4" s="796"/>
      <c r="DT4" s="796"/>
      <c r="DU4" s="796"/>
      <c r="DV4" s="796"/>
      <c r="DW4" s="796"/>
      <c r="DX4" s="796"/>
      <c r="DY4" s="796"/>
      <c r="DZ4" s="796"/>
      <c r="EA4" s="796"/>
      <c r="EB4" s="796"/>
      <c r="EC4" s="796"/>
      <c r="ED4" s="796"/>
      <c r="EE4" s="796"/>
      <c r="EF4" s="796"/>
      <c r="EG4" s="796"/>
      <c r="EH4" s="796"/>
      <c r="EI4" s="796"/>
      <c r="EJ4" s="796"/>
      <c r="EK4" s="796"/>
      <c r="EL4" s="796"/>
      <c r="EM4" s="796"/>
      <c r="EN4" s="796"/>
      <c r="EO4" s="796"/>
      <c r="EP4" s="796"/>
      <c r="EQ4" s="796"/>
      <c r="ER4" s="796"/>
      <c r="ES4" s="796"/>
      <c r="ET4" s="796"/>
      <c r="EU4" s="796"/>
      <c r="EV4" s="796"/>
      <c r="EW4" s="796"/>
      <c r="EX4" s="796"/>
      <c r="EY4" s="796"/>
      <c r="EZ4" s="796"/>
      <c r="FA4" s="796"/>
      <c r="FB4" s="796"/>
      <c r="FC4" s="796"/>
      <c r="FD4" s="796"/>
      <c r="FE4" s="796"/>
      <c r="FF4" s="796"/>
      <c r="FG4" s="796"/>
      <c r="FH4" s="796"/>
      <c r="FI4" s="796"/>
      <c r="FJ4" s="796"/>
      <c r="FK4" s="796"/>
      <c r="FL4" s="796"/>
      <c r="FM4" s="796"/>
      <c r="FN4" s="796"/>
      <c r="FO4" s="796"/>
      <c r="FP4" s="796"/>
      <c r="FQ4" s="796"/>
      <c r="FR4" s="796"/>
      <c r="FS4" s="796"/>
      <c r="FT4" s="796"/>
      <c r="FU4" s="796"/>
      <c r="FV4" s="796"/>
      <c r="FW4" s="796"/>
      <c r="FX4" s="796"/>
      <c r="FY4" s="796"/>
      <c r="FZ4" s="796"/>
      <c r="GA4" s="796"/>
      <c r="GB4" s="796"/>
      <c r="GC4" s="796"/>
      <c r="GD4" s="796"/>
      <c r="GE4" s="796"/>
      <c r="GF4" s="796"/>
      <c r="GG4" s="796"/>
      <c r="GH4" s="796"/>
      <c r="GI4" s="796"/>
      <c r="GJ4" s="796"/>
      <c r="GK4" s="796"/>
      <c r="GL4" s="796"/>
      <c r="GM4" s="796"/>
      <c r="GN4" s="796"/>
      <c r="GO4" s="796"/>
      <c r="GP4" s="796"/>
      <c r="GQ4" s="796"/>
      <c r="GR4" s="796"/>
      <c r="GS4" s="796"/>
      <c r="GT4" s="796"/>
      <c r="GU4" s="796"/>
      <c r="GV4" s="796"/>
      <c r="GW4" s="796"/>
      <c r="GX4" s="796"/>
      <c r="GY4" s="796"/>
      <c r="GZ4" s="796"/>
      <c r="HA4" s="796"/>
      <c r="HB4" s="796"/>
      <c r="HC4" s="796"/>
      <c r="HD4" s="796"/>
      <c r="HE4" s="796"/>
      <c r="HF4" s="796"/>
      <c r="HG4" s="796"/>
      <c r="HH4" s="796"/>
      <c r="HI4" s="796"/>
      <c r="HJ4" s="796"/>
      <c r="HK4" s="796"/>
      <c r="HL4" s="796"/>
      <c r="HM4" s="796"/>
      <c r="HN4" s="796"/>
      <c r="HO4" s="796"/>
      <c r="HP4" s="796"/>
      <c r="HQ4" s="796"/>
      <c r="HR4" s="796"/>
      <c r="HS4" s="796"/>
      <c r="HT4" s="796"/>
      <c r="HU4" s="796"/>
      <c r="HV4" s="796"/>
      <c r="HW4" s="796"/>
      <c r="HX4" s="796"/>
      <c r="HY4" s="796"/>
      <c r="HZ4" s="796"/>
      <c r="IA4" s="796"/>
      <c r="IB4" s="796"/>
      <c r="IC4" s="796"/>
      <c r="ID4" s="796"/>
      <c r="IE4" s="796"/>
      <c r="IF4" s="796"/>
      <c r="IG4" s="796"/>
      <c r="IH4" s="796"/>
      <c r="II4" s="796"/>
      <c r="IJ4" s="796"/>
      <c r="IK4" s="796"/>
      <c r="IL4" s="796"/>
      <c r="IM4" s="796"/>
    </row>
    <row r="5" spans="1:247" s="366" customFormat="1" ht="24.75" customHeight="1" x14ac:dyDescent="0.25">
      <c r="A5" s="797" t="s">
        <v>1</v>
      </c>
      <c r="B5" s="797" t="s">
        <v>35</v>
      </c>
      <c r="C5" s="797" t="s">
        <v>36</v>
      </c>
      <c r="D5" s="797" t="s">
        <v>551</v>
      </c>
      <c r="E5" s="799" t="s">
        <v>264</v>
      </c>
      <c r="F5" s="800"/>
      <c r="G5" s="800"/>
      <c r="H5" s="800"/>
      <c r="I5" s="800"/>
      <c r="J5" s="800"/>
      <c r="K5" s="800"/>
      <c r="L5" s="801"/>
      <c r="M5" s="802" t="s">
        <v>265</v>
      </c>
      <c r="N5" s="803"/>
      <c r="O5" s="803"/>
      <c r="P5" s="803"/>
      <c r="Q5" s="803"/>
      <c r="R5" s="803"/>
      <c r="S5" s="803"/>
      <c r="T5" s="803"/>
      <c r="U5" s="803"/>
      <c r="V5" s="804"/>
      <c r="W5" s="797" t="s">
        <v>3</v>
      </c>
    </row>
    <row r="6" spans="1:247" s="366" customFormat="1" ht="51" customHeight="1" x14ac:dyDescent="0.25">
      <c r="A6" s="798"/>
      <c r="B6" s="798"/>
      <c r="C6" s="798"/>
      <c r="D6" s="798"/>
      <c r="E6" s="367" t="s">
        <v>37</v>
      </c>
      <c r="F6" s="367" t="s">
        <v>38</v>
      </c>
      <c r="G6" s="367" t="s">
        <v>39</v>
      </c>
      <c r="H6" s="367" t="s">
        <v>40</v>
      </c>
      <c r="I6" s="367" t="s">
        <v>41</v>
      </c>
      <c r="J6" s="367" t="s">
        <v>42</v>
      </c>
      <c r="K6" s="367" t="s">
        <v>43</v>
      </c>
      <c r="L6" s="367" t="s">
        <v>44</v>
      </c>
      <c r="M6" s="368" t="s">
        <v>37</v>
      </c>
      <c r="N6" s="368" t="s">
        <v>263</v>
      </c>
      <c r="O6" s="367" t="s">
        <v>38</v>
      </c>
      <c r="P6" s="367" t="s">
        <v>39</v>
      </c>
      <c r="Q6" s="367" t="s">
        <v>40</v>
      </c>
      <c r="R6" s="367" t="s">
        <v>41</v>
      </c>
      <c r="S6" s="367" t="s">
        <v>42</v>
      </c>
      <c r="T6" s="367" t="s">
        <v>43</v>
      </c>
      <c r="U6" s="367" t="s">
        <v>44</v>
      </c>
      <c r="V6" s="367" t="s">
        <v>45</v>
      </c>
      <c r="W6" s="798"/>
    </row>
    <row r="7" spans="1:247" s="361" customFormat="1" ht="24" customHeight="1" x14ac:dyDescent="0.25">
      <c r="A7" s="369" t="s">
        <v>46</v>
      </c>
      <c r="B7" s="401" t="s">
        <v>47</v>
      </c>
      <c r="C7" s="369"/>
      <c r="D7" s="369"/>
      <c r="E7" s="369"/>
      <c r="F7" s="369"/>
      <c r="G7" s="369"/>
      <c r="H7" s="369"/>
      <c r="I7" s="369"/>
      <c r="J7" s="369"/>
      <c r="K7" s="369"/>
      <c r="L7" s="369"/>
      <c r="M7" s="369"/>
      <c r="N7" s="369"/>
      <c r="O7" s="369"/>
      <c r="P7" s="369"/>
      <c r="Q7" s="369"/>
      <c r="R7" s="369"/>
      <c r="S7" s="369"/>
      <c r="T7" s="369"/>
      <c r="U7" s="369"/>
      <c r="V7" s="369"/>
      <c r="W7" s="793" t="s">
        <v>549</v>
      </c>
    </row>
    <row r="8" spans="1:247" s="361" customFormat="1" ht="24" customHeight="1" x14ac:dyDescent="0.25">
      <c r="A8" s="568">
        <v>1</v>
      </c>
      <c r="B8" s="370" t="s">
        <v>69</v>
      </c>
      <c r="C8" s="568" t="s">
        <v>70</v>
      </c>
      <c r="D8" s="378">
        <f>SUM(O8:V8)</f>
        <v>66</v>
      </c>
      <c r="E8" s="378"/>
      <c r="F8" s="378"/>
      <c r="G8" s="378"/>
      <c r="H8" s="378"/>
      <c r="I8" s="378"/>
      <c r="J8" s="378"/>
      <c r="K8" s="378"/>
      <c r="L8" s="378"/>
      <c r="M8" s="378"/>
      <c r="N8" s="378"/>
      <c r="O8" s="378">
        <v>8</v>
      </c>
      <c r="P8" s="378">
        <v>8</v>
      </c>
      <c r="Q8" s="378">
        <v>9</v>
      </c>
      <c r="R8" s="378">
        <v>8</v>
      </c>
      <c r="S8" s="378">
        <v>13</v>
      </c>
      <c r="T8" s="378">
        <v>10</v>
      </c>
      <c r="U8" s="378">
        <v>10</v>
      </c>
      <c r="V8" s="378">
        <v>0</v>
      </c>
      <c r="W8" s="794"/>
    </row>
    <row r="9" spans="1:247" s="361" customFormat="1" ht="70.5" customHeight="1" x14ac:dyDescent="0.25">
      <c r="A9" s="568">
        <v>2</v>
      </c>
      <c r="B9" s="370" t="s">
        <v>123</v>
      </c>
      <c r="C9" s="568" t="s">
        <v>73</v>
      </c>
      <c r="D9" s="378">
        <f t="shared" ref="D9:D10" si="0">SUM(O9:V9)</f>
        <v>55</v>
      </c>
      <c r="E9" s="378"/>
      <c r="F9" s="378"/>
      <c r="G9" s="378"/>
      <c r="H9" s="378"/>
      <c r="I9" s="378"/>
      <c r="J9" s="378"/>
      <c r="K9" s="378"/>
      <c r="L9" s="378"/>
      <c r="M9" s="378"/>
      <c r="N9" s="378"/>
      <c r="O9" s="378">
        <v>9</v>
      </c>
      <c r="P9" s="378">
        <v>13</v>
      </c>
      <c r="Q9" s="378">
        <v>1</v>
      </c>
      <c r="R9" s="378">
        <v>10</v>
      </c>
      <c r="S9" s="378">
        <v>7</v>
      </c>
      <c r="T9" s="378">
        <v>0</v>
      </c>
      <c r="U9" s="378">
        <v>14</v>
      </c>
      <c r="V9" s="378">
        <v>1</v>
      </c>
      <c r="W9" s="794"/>
    </row>
    <row r="10" spans="1:247" s="361" customFormat="1" ht="24" customHeight="1" x14ac:dyDescent="0.25">
      <c r="A10" s="568">
        <v>3</v>
      </c>
      <c r="B10" s="371" t="s">
        <v>76</v>
      </c>
      <c r="C10" s="568" t="s">
        <v>70</v>
      </c>
      <c r="D10" s="378">
        <f t="shared" si="0"/>
        <v>9</v>
      </c>
      <c r="E10" s="378"/>
      <c r="F10" s="378"/>
      <c r="G10" s="378"/>
      <c r="H10" s="378"/>
      <c r="I10" s="378"/>
      <c r="J10" s="378"/>
      <c r="K10" s="378"/>
      <c r="L10" s="378"/>
      <c r="M10" s="378"/>
      <c r="N10" s="378"/>
      <c r="O10" s="378">
        <v>0</v>
      </c>
      <c r="P10" s="378">
        <v>2</v>
      </c>
      <c r="Q10" s="378">
        <v>0</v>
      </c>
      <c r="R10" s="378">
        <v>3</v>
      </c>
      <c r="S10" s="378">
        <v>4</v>
      </c>
      <c r="T10" s="378">
        <v>0</v>
      </c>
      <c r="U10" s="378">
        <v>0</v>
      </c>
      <c r="V10" s="378">
        <v>0</v>
      </c>
      <c r="W10" s="794"/>
    </row>
    <row r="11" spans="1:247" s="362" customFormat="1" ht="24" customHeight="1" x14ac:dyDescent="0.25">
      <c r="A11" s="568">
        <v>4</v>
      </c>
      <c r="B11" s="372" t="s">
        <v>266</v>
      </c>
      <c r="C11" s="373" t="s">
        <v>78</v>
      </c>
      <c r="D11" s="378"/>
      <c r="E11" s="378"/>
      <c r="F11" s="378"/>
      <c r="G11" s="378"/>
      <c r="H11" s="378"/>
      <c r="I11" s="378"/>
      <c r="J11" s="378"/>
      <c r="K11" s="378"/>
      <c r="L11" s="378"/>
      <c r="M11" s="378"/>
      <c r="N11" s="378"/>
      <c r="O11" s="378">
        <f>214/8</f>
        <v>26.75</v>
      </c>
      <c r="P11" s="378">
        <f>242/8</f>
        <v>30.25</v>
      </c>
      <c r="Q11" s="378">
        <f>352/9</f>
        <v>39.111111111111114</v>
      </c>
      <c r="R11" s="378">
        <f>230/8</f>
        <v>28.75</v>
      </c>
      <c r="S11" s="378">
        <f>415/13</f>
        <v>31.923076923076923</v>
      </c>
      <c r="T11" s="378">
        <f>351/10</f>
        <v>35.1</v>
      </c>
      <c r="U11" s="378">
        <f>316/10</f>
        <v>31.6</v>
      </c>
      <c r="V11" s="378"/>
      <c r="W11" s="794"/>
    </row>
    <row r="12" spans="1:247" s="363" customFormat="1" ht="24" customHeight="1" x14ac:dyDescent="0.25">
      <c r="A12" s="374" t="s">
        <v>31</v>
      </c>
      <c r="B12" s="379" t="s">
        <v>79</v>
      </c>
      <c r="C12" s="374"/>
      <c r="D12" s="380">
        <f>SUM(D13:D16)</f>
        <v>2174.5226282051281</v>
      </c>
      <c r="E12" s="380"/>
      <c r="F12" s="380"/>
      <c r="G12" s="380"/>
      <c r="H12" s="380"/>
      <c r="I12" s="380"/>
      <c r="J12" s="380"/>
      <c r="K12" s="380"/>
      <c r="L12" s="380"/>
      <c r="M12" s="380"/>
      <c r="N12" s="380"/>
      <c r="O12" s="380">
        <f>SUM(O13:O16)</f>
        <v>273.01249999999999</v>
      </c>
      <c r="P12" s="380">
        <f t="shared" ref="P12:V12" si="1">SUM(P13:P16)</f>
        <v>297.53750000000002</v>
      </c>
      <c r="Q12" s="380">
        <f t="shared" si="1"/>
        <v>262.86666666666667</v>
      </c>
      <c r="R12" s="380">
        <f t="shared" si="1"/>
        <v>284.3125</v>
      </c>
      <c r="S12" s="380">
        <f t="shared" si="1"/>
        <v>411.78846153846155</v>
      </c>
      <c r="T12" s="380">
        <f t="shared" si="1"/>
        <v>285.26499999999999</v>
      </c>
      <c r="U12" s="380">
        <f t="shared" si="1"/>
        <v>354.74</v>
      </c>
      <c r="V12" s="380">
        <f t="shared" si="1"/>
        <v>5</v>
      </c>
      <c r="W12" s="794"/>
    </row>
    <row r="13" spans="1:247" s="364" customFormat="1" ht="24" customHeight="1" x14ac:dyDescent="0.25">
      <c r="A13" s="568">
        <v>1</v>
      </c>
      <c r="B13" s="370" t="s">
        <v>69</v>
      </c>
      <c r="C13" s="568">
        <v>28</v>
      </c>
      <c r="D13" s="378">
        <f>SUM(O13:V13)</f>
        <v>1848</v>
      </c>
      <c r="E13" s="378"/>
      <c r="F13" s="378"/>
      <c r="G13" s="378"/>
      <c r="H13" s="378"/>
      <c r="I13" s="378"/>
      <c r="J13" s="378"/>
      <c r="K13" s="378"/>
      <c r="L13" s="378"/>
      <c r="M13" s="378"/>
      <c r="N13" s="378"/>
      <c r="O13" s="378">
        <f>$C13*O8</f>
        <v>224</v>
      </c>
      <c r="P13" s="378">
        <f t="shared" ref="P13:V13" si="2">$C13*P8</f>
        <v>224</v>
      </c>
      <c r="Q13" s="378">
        <f t="shared" si="2"/>
        <v>252</v>
      </c>
      <c r="R13" s="378">
        <f t="shared" si="2"/>
        <v>224</v>
      </c>
      <c r="S13" s="378">
        <f t="shared" si="2"/>
        <v>364</v>
      </c>
      <c r="T13" s="378">
        <f t="shared" si="2"/>
        <v>280</v>
      </c>
      <c r="U13" s="378">
        <f t="shared" si="2"/>
        <v>280</v>
      </c>
      <c r="V13" s="378">
        <f t="shared" si="2"/>
        <v>0</v>
      </c>
      <c r="W13" s="794"/>
    </row>
    <row r="14" spans="1:247" s="364" customFormat="1" ht="70.5" customHeight="1" x14ac:dyDescent="0.25">
      <c r="A14" s="568">
        <v>2</v>
      </c>
      <c r="B14" s="370" t="s">
        <v>123</v>
      </c>
      <c r="C14" s="568">
        <v>5</v>
      </c>
      <c r="D14" s="378">
        <f t="shared" ref="D14:D16" si="3">SUM(O14:V14)</f>
        <v>275</v>
      </c>
      <c r="E14" s="378"/>
      <c r="F14" s="378"/>
      <c r="G14" s="378"/>
      <c r="H14" s="378"/>
      <c r="I14" s="378"/>
      <c r="J14" s="378"/>
      <c r="K14" s="378"/>
      <c r="L14" s="378"/>
      <c r="M14" s="378"/>
      <c r="N14" s="378"/>
      <c r="O14" s="378">
        <f>$C14*O9</f>
        <v>45</v>
      </c>
      <c r="P14" s="378">
        <f t="shared" ref="P14:V14" si="4">$C14*P9</f>
        <v>65</v>
      </c>
      <c r="Q14" s="378">
        <f t="shared" si="4"/>
        <v>5</v>
      </c>
      <c r="R14" s="378">
        <f t="shared" si="4"/>
        <v>50</v>
      </c>
      <c r="S14" s="378">
        <f t="shared" si="4"/>
        <v>35</v>
      </c>
      <c r="T14" s="378">
        <f t="shared" si="4"/>
        <v>0</v>
      </c>
      <c r="U14" s="378">
        <f t="shared" si="4"/>
        <v>70</v>
      </c>
      <c r="V14" s="378">
        <f t="shared" si="4"/>
        <v>5</v>
      </c>
      <c r="W14" s="794"/>
    </row>
    <row r="15" spans="1:247" s="364" customFormat="1" ht="24" customHeight="1" x14ac:dyDescent="0.25">
      <c r="A15" s="568">
        <v>3</v>
      </c>
      <c r="B15" s="371" t="s">
        <v>76</v>
      </c>
      <c r="C15" s="568">
        <v>2</v>
      </c>
      <c r="D15" s="378">
        <f t="shared" si="3"/>
        <v>18</v>
      </c>
      <c r="E15" s="378"/>
      <c r="F15" s="378"/>
      <c r="G15" s="378"/>
      <c r="H15" s="378"/>
      <c r="I15" s="378"/>
      <c r="J15" s="378"/>
      <c r="K15" s="378"/>
      <c r="L15" s="378"/>
      <c r="M15" s="378"/>
      <c r="N15" s="378"/>
      <c r="O15" s="378">
        <f>$C15*O10</f>
        <v>0</v>
      </c>
      <c r="P15" s="378">
        <f t="shared" ref="P15:V15" si="5">$C15*P10</f>
        <v>4</v>
      </c>
      <c r="Q15" s="378">
        <f t="shared" si="5"/>
        <v>0</v>
      </c>
      <c r="R15" s="378">
        <f t="shared" si="5"/>
        <v>6</v>
      </c>
      <c r="S15" s="378">
        <f t="shared" si="5"/>
        <v>8</v>
      </c>
      <c r="T15" s="378">
        <f t="shared" si="5"/>
        <v>0</v>
      </c>
      <c r="U15" s="378">
        <f t="shared" si="5"/>
        <v>0</v>
      </c>
      <c r="V15" s="378">
        <f t="shared" si="5"/>
        <v>0</v>
      </c>
      <c r="W15" s="794"/>
    </row>
    <row r="16" spans="1:247" s="364" customFormat="1" ht="24" customHeight="1" x14ac:dyDescent="0.25">
      <c r="A16" s="568">
        <v>4</v>
      </c>
      <c r="B16" s="372" t="s">
        <v>267</v>
      </c>
      <c r="C16" s="375">
        <v>0.15</v>
      </c>
      <c r="D16" s="378">
        <f t="shared" si="3"/>
        <v>33.522628205128207</v>
      </c>
      <c r="E16" s="378"/>
      <c r="F16" s="378"/>
      <c r="G16" s="378"/>
      <c r="H16" s="378"/>
      <c r="I16" s="378"/>
      <c r="J16" s="378"/>
      <c r="K16" s="378"/>
      <c r="L16" s="378"/>
      <c r="M16" s="378"/>
      <c r="N16" s="378"/>
      <c r="O16" s="378">
        <f>$C16*O11</f>
        <v>4.0125000000000002</v>
      </c>
      <c r="P16" s="378">
        <f t="shared" ref="P16:U16" si="6">$C16*P11</f>
        <v>4.5374999999999996</v>
      </c>
      <c r="Q16" s="378">
        <f t="shared" si="6"/>
        <v>5.8666666666666671</v>
      </c>
      <c r="R16" s="378">
        <f t="shared" si="6"/>
        <v>4.3125</v>
      </c>
      <c r="S16" s="378">
        <f>$C16*S11</f>
        <v>4.7884615384615383</v>
      </c>
      <c r="T16" s="378">
        <f t="shared" si="6"/>
        <v>5.2649999999999997</v>
      </c>
      <c r="U16" s="378">
        <f t="shared" si="6"/>
        <v>4.74</v>
      </c>
      <c r="V16" s="378">
        <f>$C16*V11</f>
        <v>0</v>
      </c>
      <c r="W16" s="794"/>
    </row>
    <row r="17" spans="1:23" s="365" customFormat="1" ht="24" customHeight="1" x14ac:dyDescent="0.25">
      <c r="A17" s="376" t="s">
        <v>54</v>
      </c>
      <c r="B17" s="377" t="s">
        <v>574</v>
      </c>
      <c r="C17" s="568" t="s">
        <v>55</v>
      </c>
      <c r="D17" s="380">
        <f>193842-'B4-TDA1,DA3'!D20</f>
        <v>88711</v>
      </c>
      <c r="E17" s="380">
        <f>SUM(F17:L17)</f>
        <v>31143</v>
      </c>
      <c r="F17" s="378">
        <f>ROUND('B5.1-Chi tiết DAPTSX'!Y10/1.10925,0)</f>
        <v>5863</v>
      </c>
      <c r="G17" s="378">
        <f>ROUND('B5.1-Chi tiết DAPTSX'!Y39/1.10925,0)</f>
        <v>5402</v>
      </c>
      <c r="H17" s="378">
        <f>ROUND('B5.1-Chi tiết DAPTSX'!Y46/1.10925,0)</f>
        <v>527</v>
      </c>
      <c r="I17" s="378">
        <f>ROUND('B5.1-Chi tiết DAPTSX'!Y49/1.10925,0)</f>
        <v>7643</v>
      </c>
      <c r="J17" s="378">
        <f>ROUND('B5.1-Chi tiết DAPTSX'!Y30/1.10925,0)</f>
        <v>2858</v>
      </c>
      <c r="K17" s="378">
        <f>ROUND('B5.1-Chi tiết DAPTSX'!Y16/1.10925,0)</f>
        <v>1626</v>
      </c>
      <c r="L17" s="378">
        <f>ROUND('B5.1-Chi tiết DAPTSX'!Y21/1.10925,0)</f>
        <v>7224</v>
      </c>
      <c r="M17" s="380">
        <f>SUM(N17:V17)</f>
        <v>57568</v>
      </c>
      <c r="N17" s="378">
        <f>ROUND(N19/1.10925,0)</f>
        <v>9355</v>
      </c>
      <c r="O17" s="378">
        <f>ROUND(($M$25/$D$12*O12),0)</f>
        <v>6053</v>
      </c>
      <c r="P17" s="378">
        <f t="shared" ref="P17:V17" si="7">ROUND(($M$25/$D$12*P12),0)</f>
        <v>6597</v>
      </c>
      <c r="Q17" s="378">
        <f t="shared" si="7"/>
        <v>5828</v>
      </c>
      <c r="R17" s="378">
        <f t="shared" si="7"/>
        <v>6304</v>
      </c>
      <c r="S17" s="378">
        <f t="shared" si="7"/>
        <v>9130</v>
      </c>
      <c r="T17" s="378">
        <f t="shared" si="7"/>
        <v>6325</v>
      </c>
      <c r="U17" s="378">
        <f t="shared" si="7"/>
        <v>7865</v>
      </c>
      <c r="V17" s="378">
        <f t="shared" si="7"/>
        <v>111</v>
      </c>
      <c r="W17" s="794"/>
    </row>
    <row r="18" spans="1:23" s="365" customFormat="1" ht="35.25" customHeight="1" x14ac:dyDescent="0.25">
      <c r="A18" s="376" t="s">
        <v>56</v>
      </c>
      <c r="B18" s="377" t="s">
        <v>601</v>
      </c>
      <c r="C18" s="568" t="s">
        <v>55</v>
      </c>
      <c r="D18" s="380">
        <f>E18+M18</f>
        <v>9692</v>
      </c>
      <c r="E18" s="380">
        <f t="shared" ref="E18:E21" si="8">SUM(F18:L18)</f>
        <v>3403</v>
      </c>
      <c r="F18" s="378">
        <f>ROUND(F17*10.925%,0)</f>
        <v>641</v>
      </c>
      <c r="G18" s="378">
        <f t="shared" ref="G18:L18" si="9">ROUND(G17*10.925%,0)</f>
        <v>590</v>
      </c>
      <c r="H18" s="378">
        <f t="shared" si="9"/>
        <v>58</v>
      </c>
      <c r="I18" s="378">
        <f t="shared" si="9"/>
        <v>835</v>
      </c>
      <c r="J18" s="378">
        <f t="shared" si="9"/>
        <v>312</v>
      </c>
      <c r="K18" s="378">
        <f t="shared" si="9"/>
        <v>178</v>
      </c>
      <c r="L18" s="378">
        <f t="shared" si="9"/>
        <v>789</v>
      </c>
      <c r="M18" s="380">
        <f t="shared" ref="M18:M19" si="10">SUM(N18:V18)</f>
        <v>6289</v>
      </c>
      <c r="N18" s="378">
        <f>ROUND(N17*10.925%,0)</f>
        <v>1022</v>
      </c>
      <c r="O18" s="378">
        <f>ROUND(O17*10.925%,0)</f>
        <v>661</v>
      </c>
      <c r="P18" s="378">
        <f t="shared" ref="P18:V18" si="11">ROUND(P17*10.925%,0)</f>
        <v>721</v>
      </c>
      <c r="Q18" s="378">
        <f t="shared" si="11"/>
        <v>637</v>
      </c>
      <c r="R18" s="378">
        <f t="shared" si="11"/>
        <v>689</v>
      </c>
      <c r="S18" s="378">
        <f t="shared" si="11"/>
        <v>997</v>
      </c>
      <c r="T18" s="378">
        <f t="shared" si="11"/>
        <v>691</v>
      </c>
      <c r="U18" s="378">
        <f t="shared" si="11"/>
        <v>859</v>
      </c>
      <c r="V18" s="378">
        <f t="shared" si="11"/>
        <v>12</v>
      </c>
      <c r="W18" s="794"/>
    </row>
    <row r="19" spans="1:23" s="365" customFormat="1" ht="24" customHeight="1" x14ac:dyDescent="0.25">
      <c r="A19" s="576" t="s">
        <v>56</v>
      </c>
      <c r="B19" s="577" t="s">
        <v>261</v>
      </c>
      <c r="C19" s="569" t="s">
        <v>55</v>
      </c>
      <c r="D19" s="574">
        <f>E19+M19</f>
        <v>98403</v>
      </c>
      <c r="E19" s="574">
        <f t="shared" si="8"/>
        <v>34546</v>
      </c>
      <c r="F19" s="578">
        <f>SUM(F17:F18)</f>
        <v>6504</v>
      </c>
      <c r="G19" s="578">
        <f t="shared" ref="G19:L19" si="12">SUM(G17:G18)</f>
        <v>5992</v>
      </c>
      <c r="H19" s="578">
        <f t="shared" si="12"/>
        <v>585</v>
      </c>
      <c r="I19" s="578">
        <f t="shared" si="12"/>
        <v>8478</v>
      </c>
      <c r="J19" s="578">
        <f t="shared" si="12"/>
        <v>3170</v>
      </c>
      <c r="K19" s="578">
        <f t="shared" si="12"/>
        <v>1804</v>
      </c>
      <c r="L19" s="578">
        <f t="shared" si="12"/>
        <v>8013</v>
      </c>
      <c r="M19" s="574">
        <f t="shared" si="10"/>
        <v>63857</v>
      </c>
      <c r="N19" s="578">
        <v>10377</v>
      </c>
      <c r="O19" s="578">
        <f>SUM(O17:O18)</f>
        <v>6714</v>
      </c>
      <c r="P19" s="578">
        <f t="shared" ref="P19:V19" si="13">SUM(P17:P18)</f>
        <v>7318</v>
      </c>
      <c r="Q19" s="578">
        <f t="shared" si="13"/>
        <v>6465</v>
      </c>
      <c r="R19" s="578">
        <f t="shared" si="13"/>
        <v>6993</v>
      </c>
      <c r="S19" s="578">
        <f t="shared" si="13"/>
        <v>10127</v>
      </c>
      <c r="T19" s="578">
        <f t="shared" si="13"/>
        <v>7016</v>
      </c>
      <c r="U19" s="578">
        <f t="shared" si="13"/>
        <v>8724</v>
      </c>
      <c r="V19" s="578">
        <f t="shared" si="13"/>
        <v>123</v>
      </c>
      <c r="W19" s="795"/>
    </row>
    <row r="20" spans="1:23" s="365" customFormat="1" ht="43.5" hidden="1" customHeight="1" x14ac:dyDescent="0.25">
      <c r="A20" s="530" t="s">
        <v>478</v>
      </c>
      <c r="B20" s="531" t="s">
        <v>573</v>
      </c>
      <c r="C20" s="532" t="s">
        <v>55</v>
      </c>
      <c r="D20" s="533">
        <f>E20+M20</f>
        <v>80602.999999999985</v>
      </c>
      <c r="E20" s="575">
        <f t="shared" si="8"/>
        <v>34545.862326999995</v>
      </c>
      <c r="F20" s="534">
        <v>6504</v>
      </c>
      <c r="G20" s="534">
        <v>5992.1330680000001</v>
      </c>
      <c r="H20" s="534">
        <v>584.41</v>
      </c>
      <c r="I20" s="534">
        <v>8478.3358059999991</v>
      </c>
      <c r="J20" s="534">
        <v>3170.5076929999996</v>
      </c>
      <c r="K20" s="534">
        <v>1803.47576</v>
      </c>
      <c r="L20" s="534">
        <v>8013</v>
      </c>
      <c r="M20" s="533">
        <f>SUM(N20:V20)</f>
        <v>46057.13767299999</v>
      </c>
      <c r="N20" s="534">
        <v>10377</v>
      </c>
      <c r="O20" s="534">
        <v>4479.6607127010338</v>
      </c>
      <c r="P20" s="534">
        <v>4882.0733457452834</v>
      </c>
      <c r="Q20" s="534">
        <v>4313.1852180590449</v>
      </c>
      <c r="R20" s="534">
        <v>4665.0740767540419</v>
      </c>
      <c r="S20" s="534">
        <v>6756.7330913326205</v>
      </c>
      <c r="T20" s="534">
        <v>4680.7029466001022</v>
      </c>
      <c r="U20" s="534">
        <v>5820.6669702799863</v>
      </c>
      <c r="V20" s="534">
        <v>82.041311527879373</v>
      </c>
      <c r="W20" s="579"/>
    </row>
    <row r="21" spans="1:23" s="365" customFormat="1" ht="43.5" hidden="1" customHeight="1" x14ac:dyDescent="0.25">
      <c r="A21" s="530" t="s">
        <v>497</v>
      </c>
      <c r="B21" s="531" t="s">
        <v>571</v>
      </c>
      <c r="C21" s="532" t="s">
        <v>55</v>
      </c>
      <c r="D21" s="533">
        <f>E21+M21</f>
        <v>17800.000000000011</v>
      </c>
      <c r="E21" s="574">
        <f t="shared" si="8"/>
        <v>0.13767300000120031</v>
      </c>
      <c r="F21" s="534">
        <f>F19-F20</f>
        <v>0</v>
      </c>
      <c r="G21" s="534">
        <f t="shared" ref="G21:L21" si="14">G19-G20</f>
        <v>-0.13306800000009389</v>
      </c>
      <c r="H21" s="534">
        <f t="shared" si="14"/>
        <v>0.59000000000003183</v>
      </c>
      <c r="I21" s="534">
        <f t="shared" si="14"/>
        <v>-0.33580599999913829</v>
      </c>
      <c r="J21" s="534">
        <f t="shared" si="14"/>
        <v>-0.50769299999956274</v>
      </c>
      <c r="K21" s="534">
        <f t="shared" si="14"/>
        <v>0.5242399999999634</v>
      </c>
      <c r="L21" s="534">
        <f t="shared" si="14"/>
        <v>0</v>
      </c>
      <c r="M21" s="533">
        <f>SUM(N21:V21)</f>
        <v>17799.86232700001</v>
      </c>
      <c r="N21" s="534">
        <f>N19-N20</f>
        <v>0</v>
      </c>
      <c r="O21" s="534">
        <f t="shared" ref="O21:V21" si="15">O19-O20</f>
        <v>2234.3392872989662</v>
      </c>
      <c r="P21" s="534">
        <f t="shared" si="15"/>
        <v>2435.9266542547166</v>
      </c>
      <c r="Q21" s="534">
        <f t="shared" si="15"/>
        <v>2151.8147819409551</v>
      </c>
      <c r="R21" s="534">
        <f t="shared" si="15"/>
        <v>2327.9259232459581</v>
      </c>
      <c r="S21" s="534">
        <f t="shared" si="15"/>
        <v>3370.2669086673795</v>
      </c>
      <c r="T21" s="534">
        <f t="shared" si="15"/>
        <v>2335.2970533998978</v>
      </c>
      <c r="U21" s="534">
        <f t="shared" si="15"/>
        <v>2903.3330297200137</v>
      </c>
      <c r="V21" s="534">
        <f t="shared" si="15"/>
        <v>40.958688472120627</v>
      </c>
      <c r="W21" s="580"/>
    </row>
    <row r="22" spans="1:23" hidden="1" x14ac:dyDescent="0.25"/>
    <row r="23" spans="1:23" hidden="1" x14ac:dyDescent="0.25"/>
    <row r="24" spans="1:23" hidden="1" x14ac:dyDescent="0.25">
      <c r="G24" s="529"/>
    </row>
    <row r="25" spans="1:23" hidden="1" x14ac:dyDescent="0.25">
      <c r="C25" s="29">
        <v>193842</v>
      </c>
      <c r="F25" s="29"/>
      <c r="M25" s="29">
        <f>D17-E17-N17</f>
        <v>48213</v>
      </c>
    </row>
    <row r="26" spans="1:23" hidden="1" x14ac:dyDescent="0.25">
      <c r="C26" s="29">
        <f>C25*5%</f>
        <v>9692.1</v>
      </c>
      <c r="F26" s="29"/>
    </row>
    <row r="27" spans="1:23" hidden="1" x14ac:dyDescent="0.25">
      <c r="C27" s="400">
        <f>C26/D17</f>
        <v>0.10925477111068527</v>
      </c>
    </row>
    <row r="28" spans="1:23" hidden="1" x14ac:dyDescent="0.25"/>
    <row r="29" spans="1:23" hidden="1" x14ac:dyDescent="0.25"/>
    <row r="30" spans="1:23" hidden="1" x14ac:dyDescent="0.25"/>
  </sheetData>
  <mergeCells count="51">
    <mergeCell ref="GO4:HE4"/>
    <mergeCell ref="HF4:HV4"/>
    <mergeCell ref="HW4:IM4"/>
    <mergeCell ref="HF3:HV3"/>
    <mergeCell ref="HW3:IM3"/>
    <mergeCell ref="HW2:IM2"/>
    <mergeCell ref="AA3:AQ3"/>
    <mergeCell ref="AR3:BH3"/>
    <mergeCell ref="BI3:BY3"/>
    <mergeCell ref="BZ3:CP3"/>
    <mergeCell ref="AA2:AQ2"/>
    <mergeCell ref="FX2:GN2"/>
    <mergeCell ref="GO2:HE2"/>
    <mergeCell ref="HF2:HV2"/>
    <mergeCell ref="GO3:HE3"/>
    <mergeCell ref="DY3:EO3"/>
    <mergeCell ref="DH2:DX2"/>
    <mergeCell ref="AR2:BH2"/>
    <mergeCell ref="FG2:FW2"/>
    <mergeCell ref="FX4:GN4"/>
    <mergeCell ref="EP3:FF3"/>
    <mergeCell ref="FG3:FW3"/>
    <mergeCell ref="FX3:GN3"/>
    <mergeCell ref="DH4:DX4"/>
    <mergeCell ref="DY4:EO4"/>
    <mergeCell ref="EP4:FF4"/>
    <mergeCell ref="FG4:FW4"/>
    <mergeCell ref="AA4:AQ4"/>
    <mergeCell ref="A5:A6"/>
    <mergeCell ref="B5:B6"/>
    <mergeCell ref="C5:C6"/>
    <mergeCell ref="D5:D6"/>
    <mergeCell ref="E5:L5"/>
    <mergeCell ref="M5:V5"/>
    <mergeCell ref="W5:W6"/>
    <mergeCell ref="BZ4:CP4"/>
    <mergeCell ref="DY2:EO2"/>
    <mergeCell ref="AR4:BH4"/>
    <mergeCell ref="BI4:BY4"/>
    <mergeCell ref="EP2:FF2"/>
    <mergeCell ref="BI2:BY2"/>
    <mergeCell ref="BZ2:CP2"/>
    <mergeCell ref="CQ2:DG2"/>
    <mergeCell ref="CQ3:DG3"/>
    <mergeCell ref="DH3:DX3"/>
    <mergeCell ref="CQ4:DG4"/>
    <mergeCell ref="T1:W1"/>
    <mergeCell ref="A2:W2"/>
    <mergeCell ref="A3:W3"/>
    <mergeCell ref="A4:W4"/>
    <mergeCell ref="W7:W19"/>
  </mergeCells>
  <pageMargins left="0.59055118110236227" right="0.39370078740157483" top="0.59055118110236227" bottom="0.39370078740157483" header="0.31496062992125984" footer="0.23622047244094491"/>
  <pageSetup paperSize="9" scale="47" firstPageNumber="165" fitToHeight="0" orientation="landscape" useFirstPageNumber="1" r:id="rId1"/>
  <headerFooter>
    <oddHeader>&amp;C&amp;P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C57"/>
  <sheetViews>
    <sheetView view="pageLayout" topLeftCell="A55" zoomScale="70" zoomScaleNormal="85" zoomScalePageLayoutView="70" workbookViewId="0">
      <selection activeCell="A52" sqref="A1:XFD1048576"/>
    </sheetView>
  </sheetViews>
  <sheetFormatPr defaultRowHeight="15.75" x14ac:dyDescent="0.25"/>
  <cols>
    <col min="1" max="1" width="7" style="632" customWidth="1"/>
    <col min="2" max="2" width="17.375" style="632" customWidth="1"/>
    <col min="3" max="4" width="17.25" style="632" customWidth="1"/>
    <col min="5" max="5" width="25.375" style="632" customWidth="1"/>
    <col min="6" max="6" width="11.875" style="632" customWidth="1"/>
    <col min="7" max="7" width="16" style="632" customWidth="1"/>
    <col min="8" max="8" width="12.5" style="632" customWidth="1"/>
    <col min="9" max="9" width="12" style="632" customWidth="1"/>
    <col min="10" max="10" width="33.25" style="632" customWidth="1"/>
    <col min="11" max="12" width="14.125" style="632" customWidth="1"/>
    <col min="13" max="14" width="9.875" style="632" hidden="1" customWidth="1"/>
    <col min="15" max="15" width="8.5" style="632" hidden="1" customWidth="1"/>
    <col min="16" max="16" width="8.25" style="632" hidden="1" customWidth="1"/>
    <col min="17" max="17" width="14.125" style="632" customWidth="1"/>
    <col min="18" max="18" width="10.125" style="632" hidden="1" customWidth="1"/>
    <col min="19" max="19" width="11" style="632" hidden="1" customWidth="1"/>
    <col min="20" max="20" width="9.25" style="632" hidden="1" customWidth="1"/>
    <col min="21" max="21" width="10.125" style="632" hidden="1" customWidth="1"/>
    <col min="22" max="22" width="14.125" style="634" customWidth="1"/>
    <col min="23" max="23" width="14.125" style="632" customWidth="1"/>
    <col min="24" max="24" width="14.125" style="632" hidden="1" customWidth="1"/>
    <col min="25" max="25" width="14.125" style="632" customWidth="1"/>
    <col min="26" max="26" width="11.125" style="632" hidden="1" customWidth="1"/>
    <col min="27" max="27" width="9.375" style="632" hidden="1" customWidth="1"/>
    <col min="28" max="28" width="11" style="632" hidden="1" customWidth="1"/>
    <col min="29" max="29" width="8.875" style="632" hidden="1" customWidth="1"/>
    <col min="30" max="256" width="9" style="632"/>
    <col min="257" max="257" width="5" style="632" customWidth="1"/>
    <col min="258" max="258" width="11.25" style="632" customWidth="1"/>
    <col min="259" max="259" width="11.875" style="632" customWidth="1"/>
    <col min="260" max="260" width="13.5" style="632" customWidth="1"/>
    <col min="261" max="261" width="24.125" style="632" customWidth="1"/>
    <col min="262" max="262" width="11.875" style="632" customWidth="1"/>
    <col min="263" max="263" width="14.625" style="632" customWidth="1"/>
    <col min="264" max="264" width="9.875" style="632" customWidth="1"/>
    <col min="265" max="265" width="8.625" style="632" customWidth="1"/>
    <col min="266" max="266" width="33.25" style="632" customWidth="1"/>
    <col min="267" max="267" width="12.625" style="632" customWidth="1"/>
    <col min="268" max="268" width="10.875" style="632" customWidth="1"/>
    <col min="269" max="270" width="9.875" style="632" customWidth="1"/>
    <col min="271" max="271" width="8.5" style="632" customWidth="1"/>
    <col min="272" max="272" width="8.25" style="632" customWidth="1"/>
    <col min="273" max="273" width="11.25" style="632" customWidth="1"/>
    <col min="274" max="274" width="10.125" style="632" customWidth="1"/>
    <col min="275" max="275" width="11" style="632" customWidth="1"/>
    <col min="276" max="276" width="9.25" style="632" customWidth="1"/>
    <col min="277" max="277" width="10.125" style="632" customWidth="1"/>
    <col min="278" max="278" width="11" style="632" customWidth="1"/>
    <col min="279" max="279" width="10.5" style="632" customWidth="1"/>
    <col min="280" max="280" width="14.125" style="632" customWidth="1"/>
    <col min="281" max="281" width="12.375" style="632" customWidth="1"/>
    <col min="282" max="282" width="11.125" style="632" customWidth="1"/>
    <col min="283" max="283" width="9.375" style="632" customWidth="1"/>
    <col min="284" max="284" width="11" style="632" customWidth="1"/>
    <col min="285" max="285" width="8.875" style="632" customWidth="1"/>
    <col min="286" max="512" width="9" style="632"/>
    <col min="513" max="513" width="5" style="632" customWidth="1"/>
    <col min="514" max="514" width="11.25" style="632" customWidth="1"/>
    <col min="515" max="515" width="11.875" style="632" customWidth="1"/>
    <col min="516" max="516" width="13.5" style="632" customWidth="1"/>
    <col min="517" max="517" width="24.125" style="632" customWidth="1"/>
    <col min="518" max="518" width="11.875" style="632" customWidth="1"/>
    <col min="519" max="519" width="14.625" style="632" customWidth="1"/>
    <col min="520" max="520" width="9.875" style="632" customWidth="1"/>
    <col min="521" max="521" width="8.625" style="632" customWidth="1"/>
    <col min="522" max="522" width="33.25" style="632" customWidth="1"/>
    <col min="523" max="523" width="12.625" style="632" customWidth="1"/>
    <col min="524" max="524" width="10.875" style="632" customWidth="1"/>
    <col min="525" max="526" width="9.875" style="632" customWidth="1"/>
    <col min="527" max="527" width="8.5" style="632" customWidth="1"/>
    <col min="528" max="528" width="8.25" style="632" customWidth="1"/>
    <col min="529" max="529" width="11.25" style="632" customWidth="1"/>
    <col min="530" max="530" width="10.125" style="632" customWidth="1"/>
    <col min="531" max="531" width="11" style="632" customWidth="1"/>
    <col min="532" max="532" width="9.25" style="632" customWidth="1"/>
    <col min="533" max="533" width="10.125" style="632" customWidth="1"/>
    <col min="534" max="534" width="11" style="632" customWidth="1"/>
    <col min="535" max="535" width="10.5" style="632" customWidth="1"/>
    <col min="536" max="536" width="14.125" style="632" customWidth="1"/>
    <col min="537" max="537" width="12.375" style="632" customWidth="1"/>
    <col min="538" max="538" width="11.125" style="632" customWidth="1"/>
    <col min="539" max="539" width="9.375" style="632" customWidth="1"/>
    <col min="540" max="540" width="11" style="632" customWidth="1"/>
    <col min="541" max="541" width="8.875" style="632" customWidth="1"/>
    <col min="542" max="768" width="9" style="632"/>
    <col min="769" max="769" width="5" style="632" customWidth="1"/>
    <col min="770" max="770" width="11.25" style="632" customWidth="1"/>
    <col min="771" max="771" width="11.875" style="632" customWidth="1"/>
    <col min="772" max="772" width="13.5" style="632" customWidth="1"/>
    <col min="773" max="773" width="24.125" style="632" customWidth="1"/>
    <col min="774" max="774" width="11.875" style="632" customWidth="1"/>
    <col min="775" max="775" width="14.625" style="632" customWidth="1"/>
    <col min="776" max="776" width="9.875" style="632" customWidth="1"/>
    <col min="777" max="777" width="8.625" style="632" customWidth="1"/>
    <col min="778" max="778" width="33.25" style="632" customWidth="1"/>
    <col min="779" max="779" width="12.625" style="632" customWidth="1"/>
    <col min="780" max="780" width="10.875" style="632" customWidth="1"/>
    <col min="781" max="782" width="9.875" style="632" customWidth="1"/>
    <col min="783" max="783" width="8.5" style="632" customWidth="1"/>
    <col min="784" max="784" width="8.25" style="632" customWidth="1"/>
    <col min="785" max="785" width="11.25" style="632" customWidth="1"/>
    <col min="786" max="786" width="10.125" style="632" customWidth="1"/>
    <col min="787" max="787" width="11" style="632" customWidth="1"/>
    <col min="788" max="788" width="9.25" style="632" customWidth="1"/>
    <col min="789" max="789" width="10.125" style="632" customWidth="1"/>
    <col min="790" max="790" width="11" style="632" customWidth="1"/>
    <col min="791" max="791" width="10.5" style="632" customWidth="1"/>
    <col min="792" max="792" width="14.125" style="632" customWidth="1"/>
    <col min="793" max="793" width="12.375" style="632" customWidth="1"/>
    <col min="794" max="794" width="11.125" style="632" customWidth="1"/>
    <col min="795" max="795" width="9.375" style="632" customWidth="1"/>
    <col min="796" max="796" width="11" style="632" customWidth="1"/>
    <col min="797" max="797" width="8.875" style="632" customWidth="1"/>
    <col min="798" max="1024" width="9" style="632"/>
    <col min="1025" max="1025" width="5" style="632" customWidth="1"/>
    <col min="1026" max="1026" width="11.25" style="632" customWidth="1"/>
    <col min="1027" max="1027" width="11.875" style="632" customWidth="1"/>
    <col min="1028" max="1028" width="13.5" style="632" customWidth="1"/>
    <col min="1029" max="1029" width="24.125" style="632" customWidth="1"/>
    <col min="1030" max="1030" width="11.875" style="632" customWidth="1"/>
    <col min="1031" max="1031" width="14.625" style="632" customWidth="1"/>
    <col min="1032" max="1032" width="9.875" style="632" customWidth="1"/>
    <col min="1033" max="1033" width="8.625" style="632" customWidth="1"/>
    <col min="1034" max="1034" width="33.25" style="632" customWidth="1"/>
    <col min="1035" max="1035" width="12.625" style="632" customWidth="1"/>
    <col min="1036" max="1036" width="10.875" style="632" customWidth="1"/>
    <col min="1037" max="1038" width="9.875" style="632" customWidth="1"/>
    <col min="1039" max="1039" width="8.5" style="632" customWidth="1"/>
    <col min="1040" max="1040" width="8.25" style="632" customWidth="1"/>
    <col min="1041" max="1041" width="11.25" style="632" customWidth="1"/>
    <col min="1042" max="1042" width="10.125" style="632" customWidth="1"/>
    <col min="1043" max="1043" width="11" style="632" customWidth="1"/>
    <col min="1044" max="1044" width="9.25" style="632" customWidth="1"/>
    <col min="1045" max="1045" width="10.125" style="632" customWidth="1"/>
    <col min="1046" max="1046" width="11" style="632" customWidth="1"/>
    <col min="1047" max="1047" width="10.5" style="632" customWidth="1"/>
    <col min="1048" max="1048" width="14.125" style="632" customWidth="1"/>
    <col min="1049" max="1049" width="12.375" style="632" customWidth="1"/>
    <col min="1050" max="1050" width="11.125" style="632" customWidth="1"/>
    <col min="1051" max="1051" width="9.375" style="632" customWidth="1"/>
    <col min="1052" max="1052" width="11" style="632" customWidth="1"/>
    <col min="1053" max="1053" width="8.875" style="632" customWidth="1"/>
    <col min="1054" max="1280" width="9" style="632"/>
    <col min="1281" max="1281" width="5" style="632" customWidth="1"/>
    <col min="1282" max="1282" width="11.25" style="632" customWidth="1"/>
    <col min="1283" max="1283" width="11.875" style="632" customWidth="1"/>
    <col min="1284" max="1284" width="13.5" style="632" customWidth="1"/>
    <col min="1285" max="1285" width="24.125" style="632" customWidth="1"/>
    <col min="1286" max="1286" width="11.875" style="632" customWidth="1"/>
    <col min="1287" max="1287" width="14.625" style="632" customWidth="1"/>
    <col min="1288" max="1288" width="9.875" style="632" customWidth="1"/>
    <col min="1289" max="1289" width="8.625" style="632" customWidth="1"/>
    <col min="1290" max="1290" width="33.25" style="632" customWidth="1"/>
    <col min="1291" max="1291" width="12.625" style="632" customWidth="1"/>
    <col min="1292" max="1292" width="10.875" style="632" customWidth="1"/>
    <col min="1293" max="1294" width="9.875" style="632" customWidth="1"/>
    <col min="1295" max="1295" width="8.5" style="632" customWidth="1"/>
    <col min="1296" max="1296" width="8.25" style="632" customWidth="1"/>
    <col min="1297" max="1297" width="11.25" style="632" customWidth="1"/>
    <col min="1298" max="1298" width="10.125" style="632" customWidth="1"/>
    <col min="1299" max="1299" width="11" style="632" customWidth="1"/>
    <col min="1300" max="1300" width="9.25" style="632" customWidth="1"/>
    <col min="1301" max="1301" width="10.125" style="632" customWidth="1"/>
    <col min="1302" max="1302" width="11" style="632" customWidth="1"/>
    <col min="1303" max="1303" width="10.5" style="632" customWidth="1"/>
    <col min="1304" max="1304" width="14.125" style="632" customWidth="1"/>
    <col min="1305" max="1305" width="12.375" style="632" customWidth="1"/>
    <col min="1306" max="1306" width="11.125" style="632" customWidth="1"/>
    <col min="1307" max="1307" width="9.375" style="632" customWidth="1"/>
    <col min="1308" max="1308" width="11" style="632" customWidth="1"/>
    <col min="1309" max="1309" width="8.875" style="632" customWidth="1"/>
    <col min="1310" max="1536" width="9" style="632"/>
    <col min="1537" max="1537" width="5" style="632" customWidth="1"/>
    <col min="1538" max="1538" width="11.25" style="632" customWidth="1"/>
    <col min="1539" max="1539" width="11.875" style="632" customWidth="1"/>
    <col min="1540" max="1540" width="13.5" style="632" customWidth="1"/>
    <col min="1541" max="1541" width="24.125" style="632" customWidth="1"/>
    <col min="1542" max="1542" width="11.875" style="632" customWidth="1"/>
    <col min="1543" max="1543" width="14.625" style="632" customWidth="1"/>
    <col min="1544" max="1544" width="9.875" style="632" customWidth="1"/>
    <col min="1545" max="1545" width="8.625" style="632" customWidth="1"/>
    <col min="1546" max="1546" width="33.25" style="632" customWidth="1"/>
    <col min="1547" max="1547" width="12.625" style="632" customWidth="1"/>
    <col min="1548" max="1548" width="10.875" style="632" customWidth="1"/>
    <col min="1549" max="1550" width="9.875" style="632" customWidth="1"/>
    <col min="1551" max="1551" width="8.5" style="632" customWidth="1"/>
    <col min="1552" max="1552" width="8.25" style="632" customWidth="1"/>
    <col min="1553" max="1553" width="11.25" style="632" customWidth="1"/>
    <col min="1554" max="1554" width="10.125" style="632" customWidth="1"/>
    <col min="1555" max="1555" width="11" style="632" customWidth="1"/>
    <col min="1556" max="1556" width="9.25" style="632" customWidth="1"/>
    <col min="1557" max="1557" width="10.125" style="632" customWidth="1"/>
    <col min="1558" max="1558" width="11" style="632" customWidth="1"/>
    <col min="1559" max="1559" width="10.5" style="632" customWidth="1"/>
    <col min="1560" max="1560" width="14.125" style="632" customWidth="1"/>
    <col min="1561" max="1561" width="12.375" style="632" customWidth="1"/>
    <col min="1562" max="1562" width="11.125" style="632" customWidth="1"/>
    <col min="1563" max="1563" width="9.375" style="632" customWidth="1"/>
    <col min="1564" max="1564" width="11" style="632" customWidth="1"/>
    <col min="1565" max="1565" width="8.875" style="632" customWidth="1"/>
    <col min="1566" max="1792" width="9" style="632"/>
    <col min="1793" max="1793" width="5" style="632" customWidth="1"/>
    <col min="1794" max="1794" width="11.25" style="632" customWidth="1"/>
    <col min="1795" max="1795" width="11.875" style="632" customWidth="1"/>
    <col min="1796" max="1796" width="13.5" style="632" customWidth="1"/>
    <col min="1797" max="1797" width="24.125" style="632" customWidth="1"/>
    <col min="1798" max="1798" width="11.875" style="632" customWidth="1"/>
    <col min="1799" max="1799" width="14.625" style="632" customWidth="1"/>
    <col min="1800" max="1800" width="9.875" style="632" customWidth="1"/>
    <col min="1801" max="1801" width="8.625" style="632" customWidth="1"/>
    <col min="1802" max="1802" width="33.25" style="632" customWidth="1"/>
    <col min="1803" max="1803" width="12.625" style="632" customWidth="1"/>
    <col min="1804" max="1804" width="10.875" style="632" customWidth="1"/>
    <col min="1805" max="1806" width="9.875" style="632" customWidth="1"/>
    <col min="1807" max="1807" width="8.5" style="632" customWidth="1"/>
    <col min="1808" max="1808" width="8.25" style="632" customWidth="1"/>
    <col min="1809" max="1809" width="11.25" style="632" customWidth="1"/>
    <col min="1810" max="1810" width="10.125" style="632" customWidth="1"/>
    <col min="1811" max="1811" width="11" style="632" customWidth="1"/>
    <col min="1812" max="1812" width="9.25" style="632" customWidth="1"/>
    <col min="1813" max="1813" width="10.125" style="632" customWidth="1"/>
    <col min="1814" max="1814" width="11" style="632" customWidth="1"/>
    <col min="1815" max="1815" width="10.5" style="632" customWidth="1"/>
    <col min="1816" max="1816" width="14.125" style="632" customWidth="1"/>
    <col min="1817" max="1817" width="12.375" style="632" customWidth="1"/>
    <col min="1818" max="1818" width="11.125" style="632" customWidth="1"/>
    <col min="1819" max="1819" width="9.375" style="632" customWidth="1"/>
    <col min="1820" max="1820" width="11" style="632" customWidth="1"/>
    <col min="1821" max="1821" width="8.875" style="632" customWidth="1"/>
    <col min="1822" max="2048" width="9" style="632"/>
    <col min="2049" max="2049" width="5" style="632" customWidth="1"/>
    <col min="2050" max="2050" width="11.25" style="632" customWidth="1"/>
    <col min="2051" max="2051" width="11.875" style="632" customWidth="1"/>
    <col min="2052" max="2052" width="13.5" style="632" customWidth="1"/>
    <col min="2053" max="2053" width="24.125" style="632" customWidth="1"/>
    <col min="2054" max="2054" width="11.875" style="632" customWidth="1"/>
    <col min="2055" max="2055" width="14.625" style="632" customWidth="1"/>
    <col min="2056" max="2056" width="9.875" style="632" customWidth="1"/>
    <col min="2057" max="2057" width="8.625" style="632" customWidth="1"/>
    <col min="2058" max="2058" width="33.25" style="632" customWidth="1"/>
    <col min="2059" max="2059" width="12.625" style="632" customWidth="1"/>
    <col min="2060" max="2060" width="10.875" style="632" customWidth="1"/>
    <col min="2061" max="2062" width="9.875" style="632" customWidth="1"/>
    <col min="2063" max="2063" width="8.5" style="632" customWidth="1"/>
    <col min="2064" max="2064" width="8.25" style="632" customWidth="1"/>
    <col min="2065" max="2065" width="11.25" style="632" customWidth="1"/>
    <col min="2066" max="2066" width="10.125" style="632" customWidth="1"/>
    <col min="2067" max="2067" width="11" style="632" customWidth="1"/>
    <col min="2068" max="2068" width="9.25" style="632" customWidth="1"/>
    <col min="2069" max="2069" width="10.125" style="632" customWidth="1"/>
    <col min="2070" max="2070" width="11" style="632" customWidth="1"/>
    <col min="2071" max="2071" width="10.5" style="632" customWidth="1"/>
    <col min="2072" max="2072" width="14.125" style="632" customWidth="1"/>
    <col min="2073" max="2073" width="12.375" style="632" customWidth="1"/>
    <col min="2074" max="2074" width="11.125" style="632" customWidth="1"/>
    <col min="2075" max="2075" width="9.375" style="632" customWidth="1"/>
    <col min="2076" max="2076" width="11" style="632" customWidth="1"/>
    <col min="2077" max="2077" width="8.875" style="632" customWidth="1"/>
    <col min="2078" max="2304" width="9" style="632"/>
    <col min="2305" max="2305" width="5" style="632" customWidth="1"/>
    <col min="2306" max="2306" width="11.25" style="632" customWidth="1"/>
    <col min="2307" max="2307" width="11.875" style="632" customWidth="1"/>
    <col min="2308" max="2308" width="13.5" style="632" customWidth="1"/>
    <col min="2309" max="2309" width="24.125" style="632" customWidth="1"/>
    <col min="2310" max="2310" width="11.875" style="632" customWidth="1"/>
    <col min="2311" max="2311" width="14.625" style="632" customWidth="1"/>
    <col min="2312" max="2312" width="9.875" style="632" customWidth="1"/>
    <col min="2313" max="2313" width="8.625" style="632" customWidth="1"/>
    <col min="2314" max="2314" width="33.25" style="632" customWidth="1"/>
    <col min="2315" max="2315" width="12.625" style="632" customWidth="1"/>
    <col min="2316" max="2316" width="10.875" style="632" customWidth="1"/>
    <col min="2317" max="2318" width="9.875" style="632" customWidth="1"/>
    <col min="2319" max="2319" width="8.5" style="632" customWidth="1"/>
    <col min="2320" max="2320" width="8.25" style="632" customWidth="1"/>
    <col min="2321" max="2321" width="11.25" style="632" customWidth="1"/>
    <col min="2322" max="2322" width="10.125" style="632" customWidth="1"/>
    <col min="2323" max="2323" width="11" style="632" customWidth="1"/>
    <col min="2324" max="2324" width="9.25" style="632" customWidth="1"/>
    <col min="2325" max="2325" width="10.125" style="632" customWidth="1"/>
    <col min="2326" max="2326" width="11" style="632" customWidth="1"/>
    <col min="2327" max="2327" width="10.5" style="632" customWidth="1"/>
    <col min="2328" max="2328" width="14.125" style="632" customWidth="1"/>
    <col min="2329" max="2329" width="12.375" style="632" customWidth="1"/>
    <col min="2330" max="2330" width="11.125" style="632" customWidth="1"/>
    <col min="2331" max="2331" width="9.375" style="632" customWidth="1"/>
    <col min="2332" max="2332" width="11" style="632" customWidth="1"/>
    <col min="2333" max="2333" width="8.875" style="632" customWidth="1"/>
    <col min="2334" max="2560" width="9" style="632"/>
    <col min="2561" max="2561" width="5" style="632" customWidth="1"/>
    <col min="2562" max="2562" width="11.25" style="632" customWidth="1"/>
    <col min="2563" max="2563" width="11.875" style="632" customWidth="1"/>
    <col min="2564" max="2564" width="13.5" style="632" customWidth="1"/>
    <col min="2565" max="2565" width="24.125" style="632" customWidth="1"/>
    <col min="2566" max="2566" width="11.875" style="632" customWidth="1"/>
    <col min="2567" max="2567" width="14.625" style="632" customWidth="1"/>
    <col min="2568" max="2568" width="9.875" style="632" customWidth="1"/>
    <col min="2569" max="2569" width="8.625" style="632" customWidth="1"/>
    <col min="2570" max="2570" width="33.25" style="632" customWidth="1"/>
    <col min="2571" max="2571" width="12.625" style="632" customWidth="1"/>
    <col min="2572" max="2572" width="10.875" style="632" customWidth="1"/>
    <col min="2573" max="2574" width="9.875" style="632" customWidth="1"/>
    <col min="2575" max="2575" width="8.5" style="632" customWidth="1"/>
    <col min="2576" max="2576" width="8.25" style="632" customWidth="1"/>
    <col min="2577" max="2577" width="11.25" style="632" customWidth="1"/>
    <col min="2578" max="2578" width="10.125" style="632" customWidth="1"/>
    <col min="2579" max="2579" width="11" style="632" customWidth="1"/>
    <col min="2580" max="2580" width="9.25" style="632" customWidth="1"/>
    <col min="2581" max="2581" width="10.125" style="632" customWidth="1"/>
    <col min="2582" max="2582" width="11" style="632" customWidth="1"/>
    <col min="2583" max="2583" width="10.5" style="632" customWidth="1"/>
    <col min="2584" max="2584" width="14.125" style="632" customWidth="1"/>
    <col min="2585" max="2585" width="12.375" style="632" customWidth="1"/>
    <col min="2586" max="2586" width="11.125" style="632" customWidth="1"/>
    <col min="2587" max="2587" width="9.375" style="632" customWidth="1"/>
    <col min="2588" max="2588" width="11" style="632" customWidth="1"/>
    <col min="2589" max="2589" width="8.875" style="632" customWidth="1"/>
    <col min="2590" max="2816" width="9" style="632"/>
    <col min="2817" max="2817" width="5" style="632" customWidth="1"/>
    <col min="2818" max="2818" width="11.25" style="632" customWidth="1"/>
    <col min="2819" max="2819" width="11.875" style="632" customWidth="1"/>
    <col min="2820" max="2820" width="13.5" style="632" customWidth="1"/>
    <col min="2821" max="2821" width="24.125" style="632" customWidth="1"/>
    <col min="2822" max="2822" width="11.875" style="632" customWidth="1"/>
    <col min="2823" max="2823" width="14.625" style="632" customWidth="1"/>
    <col min="2824" max="2824" width="9.875" style="632" customWidth="1"/>
    <col min="2825" max="2825" width="8.625" style="632" customWidth="1"/>
    <col min="2826" max="2826" width="33.25" style="632" customWidth="1"/>
    <col min="2827" max="2827" width="12.625" style="632" customWidth="1"/>
    <col min="2828" max="2828" width="10.875" style="632" customWidth="1"/>
    <col min="2829" max="2830" width="9.875" style="632" customWidth="1"/>
    <col min="2831" max="2831" width="8.5" style="632" customWidth="1"/>
    <col min="2832" max="2832" width="8.25" style="632" customWidth="1"/>
    <col min="2833" max="2833" width="11.25" style="632" customWidth="1"/>
    <col min="2834" max="2834" width="10.125" style="632" customWidth="1"/>
    <col min="2835" max="2835" width="11" style="632" customWidth="1"/>
    <col min="2836" max="2836" width="9.25" style="632" customWidth="1"/>
    <col min="2837" max="2837" width="10.125" style="632" customWidth="1"/>
    <col min="2838" max="2838" width="11" style="632" customWidth="1"/>
    <col min="2839" max="2839" width="10.5" style="632" customWidth="1"/>
    <col min="2840" max="2840" width="14.125" style="632" customWidth="1"/>
    <col min="2841" max="2841" width="12.375" style="632" customWidth="1"/>
    <col min="2842" max="2842" width="11.125" style="632" customWidth="1"/>
    <col min="2843" max="2843" width="9.375" style="632" customWidth="1"/>
    <col min="2844" max="2844" width="11" style="632" customWidth="1"/>
    <col min="2845" max="2845" width="8.875" style="632" customWidth="1"/>
    <col min="2846" max="3072" width="9" style="632"/>
    <col min="3073" max="3073" width="5" style="632" customWidth="1"/>
    <col min="3074" max="3074" width="11.25" style="632" customWidth="1"/>
    <col min="3075" max="3075" width="11.875" style="632" customWidth="1"/>
    <col min="3076" max="3076" width="13.5" style="632" customWidth="1"/>
    <col min="3077" max="3077" width="24.125" style="632" customWidth="1"/>
    <col min="3078" max="3078" width="11.875" style="632" customWidth="1"/>
    <col min="3079" max="3079" width="14.625" style="632" customWidth="1"/>
    <col min="3080" max="3080" width="9.875" style="632" customWidth="1"/>
    <col min="3081" max="3081" width="8.625" style="632" customWidth="1"/>
    <col min="3082" max="3082" width="33.25" style="632" customWidth="1"/>
    <col min="3083" max="3083" width="12.625" style="632" customWidth="1"/>
    <col min="3084" max="3084" width="10.875" style="632" customWidth="1"/>
    <col min="3085" max="3086" width="9.875" style="632" customWidth="1"/>
    <col min="3087" max="3087" width="8.5" style="632" customWidth="1"/>
    <col min="3088" max="3088" width="8.25" style="632" customWidth="1"/>
    <col min="3089" max="3089" width="11.25" style="632" customWidth="1"/>
    <col min="3090" max="3090" width="10.125" style="632" customWidth="1"/>
    <col min="3091" max="3091" width="11" style="632" customWidth="1"/>
    <col min="3092" max="3092" width="9.25" style="632" customWidth="1"/>
    <col min="3093" max="3093" width="10.125" style="632" customWidth="1"/>
    <col min="3094" max="3094" width="11" style="632" customWidth="1"/>
    <col min="3095" max="3095" width="10.5" style="632" customWidth="1"/>
    <col min="3096" max="3096" width="14.125" style="632" customWidth="1"/>
    <col min="3097" max="3097" width="12.375" style="632" customWidth="1"/>
    <col min="3098" max="3098" width="11.125" style="632" customWidth="1"/>
    <col min="3099" max="3099" width="9.375" style="632" customWidth="1"/>
    <col min="3100" max="3100" width="11" style="632" customWidth="1"/>
    <col min="3101" max="3101" width="8.875" style="632" customWidth="1"/>
    <col min="3102" max="3328" width="9" style="632"/>
    <col min="3329" max="3329" width="5" style="632" customWidth="1"/>
    <col min="3330" max="3330" width="11.25" style="632" customWidth="1"/>
    <col min="3331" max="3331" width="11.875" style="632" customWidth="1"/>
    <col min="3332" max="3332" width="13.5" style="632" customWidth="1"/>
    <col min="3333" max="3333" width="24.125" style="632" customWidth="1"/>
    <col min="3334" max="3334" width="11.875" style="632" customWidth="1"/>
    <col min="3335" max="3335" width="14.625" style="632" customWidth="1"/>
    <col min="3336" max="3336" width="9.875" style="632" customWidth="1"/>
    <col min="3337" max="3337" width="8.625" style="632" customWidth="1"/>
    <col min="3338" max="3338" width="33.25" style="632" customWidth="1"/>
    <col min="3339" max="3339" width="12.625" style="632" customWidth="1"/>
    <col min="3340" max="3340" width="10.875" style="632" customWidth="1"/>
    <col min="3341" max="3342" width="9.875" style="632" customWidth="1"/>
    <col min="3343" max="3343" width="8.5" style="632" customWidth="1"/>
    <col min="3344" max="3344" width="8.25" style="632" customWidth="1"/>
    <col min="3345" max="3345" width="11.25" style="632" customWidth="1"/>
    <col min="3346" max="3346" width="10.125" style="632" customWidth="1"/>
    <col min="3347" max="3347" width="11" style="632" customWidth="1"/>
    <col min="3348" max="3348" width="9.25" style="632" customWidth="1"/>
    <col min="3349" max="3349" width="10.125" style="632" customWidth="1"/>
    <col min="3350" max="3350" width="11" style="632" customWidth="1"/>
    <col min="3351" max="3351" width="10.5" style="632" customWidth="1"/>
    <col min="3352" max="3352" width="14.125" style="632" customWidth="1"/>
    <col min="3353" max="3353" width="12.375" style="632" customWidth="1"/>
    <col min="3354" max="3354" width="11.125" style="632" customWidth="1"/>
    <col min="3355" max="3355" width="9.375" style="632" customWidth="1"/>
    <col min="3356" max="3356" width="11" style="632" customWidth="1"/>
    <col min="3357" max="3357" width="8.875" style="632" customWidth="1"/>
    <col min="3358" max="3584" width="9" style="632"/>
    <col min="3585" max="3585" width="5" style="632" customWidth="1"/>
    <col min="3586" max="3586" width="11.25" style="632" customWidth="1"/>
    <col min="3587" max="3587" width="11.875" style="632" customWidth="1"/>
    <col min="3588" max="3588" width="13.5" style="632" customWidth="1"/>
    <col min="3589" max="3589" width="24.125" style="632" customWidth="1"/>
    <col min="3590" max="3590" width="11.875" style="632" customWidth="1"/>
    <col min="3591" max="3591" width="14.625" style="632" customWidth="1"/>
    <col min="3592" max="3592" width="9.875" style="632" customWidth="1"/>
    <col min="3593" max="3593" width="8.625" style="632" customWidth="1"/>
    <col min="3594" max="3594" width="33.25" style="632" customWidth="1"/>
    <col min="3595" max="3595" width="12.625" style="632" customWidth="1"/>
    <col min="3596" max="3596" width="10.875" style="632" customWidth="1"/>
    <col min="3597" max="3598" width="9.875" style="632" customWidth="1"/>
    <col min="3599" max="3599" width="8.5" style="632" customWidth="1"/>
    <col min="3600" max="3600" width="8.25" style="632" customWidth="1"/>
    <col min="3601" max="3601" width="11.25" style="632" customWidth="1"/>
    <col min="3602" max="3602" width="10.125" style="632" customWidth="1"/>
    <col min="3603" max="3603" width="11" style="632" customWidth="1"/>
    <col min="3604" max="3604" width="9.25" style="632" customWidth="1"/>
    <col min="3605" max="3605" width="10.125" style="632" customWidth="1"/>
    <col min="3606" max="3606" width="11" style="632" customWidth="1"/>
    <col min="3607" max="3607" width="10.5" style="632" customWidth="1"/>
    <col min="3608" max="3608" width="14.125" style="632" customWidth="1"/>
    <col min="3609" max="3609" width="12.375" style="632" customWidth="1"/>
    <col min="3610" max="3610" width="11.125" style="632" customWidth="1"/>
    <col min="3611" max="3611" width="9.375" style="632" customWidth="1"/>
    <col min="3612" max="3612" width="11" style="632" customWidth="1"/>
    <col min="3613" max="3613" width="8.875" style="632" customWidth="1"/>
    <col min="3614" max="3840" width="9" style="632"/>
    <col min="3841" max="3841" width="5" style="632" customWidth="1"/>
    <col min="3842" max="3842" width="11.25" style="632" customWidth="1"/>
    <col min="3843" max="3843" width="11.875" style="632" customWidth="1"/>
    <col min="3844" max="3844" width="13.5" style="632" customWidth="1"/>
    <col min="3845" max="3845" width="24.125" style="632" customWidth="1"/>
    <col min="3846" max="3846" width="11.875" style="632" customWidth="1"/>
    <col min="3847" max="3847" width="14.625" style="632" customWidth="1"/>
    <col min="3848" max="3848" width="9.875" style="632" customWidth="1"/>
    <col min="3849" max="3849" width="8.625" style="632" customWidth="1"/>
    <col min="3850" max="3850" width="33.25" style="632" customWidth="1"/>
    <col min="3851" max="3851" width="12.625" style="632" customWidth="1"/>
    <col min="3852" max="3852" width="10.875" style="632" customWidth="1"/>
    <col min="3853" max="3854" width="9.875" style="632" customWidth="1"/>
    <col min="3855" max="3855" width="8.5" style="632" customWidth="1"/>
    <col min="3856" max="3856" width="8.25" style="632" customWidth="1"/>
    <col min="3857" max="3857" width="11.25" style="632" customWidth="1"/>
    <col min="3858" max="3858" width="10.125" style="632" customWidth="1"/>
    <col min="3859" max="3859" width="11" style="632" customWidth="1"/>
    <col min="3860" max="3860" width="9.25" style="632" customWidth="1"/>
    <col min="3861" max="3861" width="10.125" style="632" customWidth="1"/>
    <col min="3862" max="3862" width="11" style="632" customWidth="1"/>
    <col min="3863" max="3863" width="10.5" style="632" customWidth="1"/>
    <col min="3864" max="3864" width="14.125" style="632" customWidth="1"/>
    <col min="3865" max="3865" width="12.375" style="632" customWidth="1"/>
    <col min="3866" max="3866" width="11.125" style="632" customWidth="1"/>
    <col min="3867" max="3867" width="9.375" style="632" customWidth="1"/>
    <col min="3868" max="3868" width="11" style="632" customWidth="1"/>
    <col min="3869" max="3869" width="8.875" style="632" customWidth="1"/>
    <col min="3870" max="4096" width="9" style="632"/>
    <col min="4097" max="4097" width="5" style="632" customWidth="1"/>
    <col min="4098" max="4098" width="11.25" style="632" customWidth="1"/>
    <col min="4099" max="4099" width="11.875" style="632" customWidth="1"/>
    <col min="4100" max="4100" width="13.5" style="632" customWidth="1"/>
    <col min="4101" max="4101" width="24.125" style="632" customWidth="1"/>
    <col min="4102" max="4102" width="11.875" style="632" customWidth="1"/>
    <col min="4103" max="4103" width="14.625" style="632" customWidth="1"/>
    <col min="4104" max="4104" width="9.875" style="632" customWidth="1"/>
    <col min="4105" max="4105" width="8.625" style="632" customWidth="1"/>
    <col min="4106" max="4106" width="33.25" style="632" customWidth="1"/>
    <col min="4107" max="4107" width="12.625" style="632" customWidth="1"/>
    <col min="4108" max="4108" width="10.875" style="632" customWidth="1"/>
    <col min="4109" max="4110" width="9.875" style="632" customWidth="1"/>
    <col min="4111" max="4111" width="8.5" style="632" customWidth="1"/>
    <col min="4112" max="4112" width="8.25" style="632" customWidth="1"/>
    <col min="4113" max="4113" width="11.25" style="632" customWidth="1"/>
    <col min="4114" max="4114" width="10.125" style="632" customWidth="1"/>
    <col min="4115" max="4115" width="11" style="632" customWidth="1"/>
    <col min="4116" max="4116" width="9.25" style="632" customWidth="1"/>
    <col min="4117" max="4117" width="10.125" style="632" customWidth="1"/>
    <col min="4118" max="4118" width="11" style="632" customWidth="1"/>
    <col min="4119" max="4119" width="10.5" style="632" customWidth="1"/>
    <col min="4120" max="4120" width="14.125" style="632" customWidth="1"/>
    <col min="4121" max="4121" width="12.375" style="632" customWidth="1"/>
    <col min="4122" max="4122" width="11.125" style="632" customWidth="1"/>
    <col min="4123" max="4123" width="9.375" style="632" customWidth="1"/>
    <col min="4124" max="4124" width="11" style="632" customWidth="1"/>
    <col min="4125" max="4125" width="8.875" style="632" customWidth="1"/>
    <col min="4126" max="4352" width="9" style="632"/>
    <col min="4353" max="4353" width="5" style="632" customWidth="1"/>
    <col min="4354" max="4354" width="11.25" style="632" customWidth="1"/>
    <col min="4355" max="4355" width="11.875" style="632" customWidth="1"/>
    <col min="4356" max="4356" width="13.5" style="632" customWidth="1"/>
    <col min="4357" max="4357" width="24.125" style="632" customWidth="1"/>
    <col min="4358" max="4358" width="11.875" style="632" customWidth="1"/>
    <col min="4359" max="4359" width="14.625" style="632" customWidth="1"/>
    <col min="4360" max="4360" width="9.875" style="632" customWidth="1"/>
    <col min="4361" max="4361" width="8.625" style="632" customWidth="1"/>
    <col min="4362" max="4362" width="33.25" style="632" customWidth="1"/>
    <col min="4363" max="4363" width="12.625" style="632" customWidth="1"/>
    <col min="4364" max="4364" width="10.875" style="632" customWidth="1"/>
    <col min="4365" max="4366" width="9.875" style="632" customWidth="1"/>
    <col min="4367" max="4367" width="8.5" style="632" customWidth="1"/>
    <col min="4368" max="4368" width="8.25" style="632" customWidth="1"/>
    <col min="4369" max="4369" width="11.25" style="632" customWidth="1"/>
    <col min="4370" max="4370" width="10.125" style="632" customWidth="1"/>
    <col min="4371" max="4371" width="11" style="632" customWidth="1"/>
    <col min="4372" max="4372" width="9.25" style="632" customWidth="1"/>
    <col min="4373" max="4373" width="10.125" style="632" customWidth="1"/>
    <col min="4374" max="4374" width="11" style="632" customWidth="1"/>
    <col min="4375" max="4375" width="10.5" style="632" customWidth="1"/>
    <col min="4376" max="4376" width="14.125" style="632" customWidth="1"/>
    <col min="4377" max="4377" width="12.375" style="632" customWidth="1"/>
    <col min="4378" max="4378" width="11.125" style="632" customWidth="1"/>
    <col min="4379" max="4379" width="9.375" style="632" customWidth="1"/>
    <col min="4380" max="4380" width="11" style="632" customWidth="1"/>
    <col min="4381" max="4381" width="8.875" style="632" customWidth="1"/>
    <col min="4382" max="4608" width="9" style="632"/>
    <col min="4609" max="4609" width="5" style="632" customWidth="1"/>
    <col min="4610" max="4610" width="11.25" style="632" customWidth="1"/>
    <col min="4611" max="4611" width="11.875" style="632" customWidth="1"/>
    <col min="4612" max="4612" width="13.5" style="632" customWidth="1"/>
    <col min="4613" max="4613" width="24.125" style="632" customWidth="1"/>
    <col min="4614" max="4614" width="11.875" style="632" customWidth="1"/>
    <col min="4615" max="4615" width="14.625" style="632" customWidth="1"/>
    <col min="4616" max="4616" width="9.875" style="632" customWidth="1"/>
    <col min="4617" max="4617" width="8.625" style="632" customWidth="1"/>
    <col min="4618" max="4618" width="33.25" style="632" customWidth="1"/>
    <col min="4619" max="4619" width="12.625" style="632" customWidth="1"/>
    <col min="4620" max="4620" width="10.875" style="632" customWidth="1"/>
    <col min="4621" max="4622" width="9.875" style="632" customWidth="1"/>
    <col min="4623" max="4623" width="8.5" style="632" customWidth="1"/>
    <col min="4624" max="4624" width="8.25" style="632" customWidth="1"/>
    <col min="4625" max="4625" width="11.25" style="632" customWidth="1"/>
    <col min="4626" max="4626" width="10.125" style="632" customWidth="1"/>
    <col min="4627" max="4627" width="11" style="632" customWidth="1"/>
    <col min="4628" max="4628" width="9.25" style="632" customWidth="1"/>
    <col min="4629" max="4629" width="10.125" style="632" customWidth="1"/>
    <col min="4630" max="4630" width="11" style="632" customWidth="1"/>
    <col min="4631" max="4631" width="10.5" style="632" customWidth="1"/>
    <col min="4632" max="4632" width="14.125" style="632" customWidth="1"/>
    <col min="4633" max="4633" width="12.375" style="632" customWidth="1"/>
    <col min="4634" max="4634" width="11.125" style="632" customWidth="1"/>
    <col min="4635" max="4635" width="9.375" style="632" customWidth="1"/>
    <col min="4636" max="4636" width="11" style="632" customWidth="1"/>
    <col min="4637" max="4637" width="8.875" style="632" customWidth="1"/>
    <col min="4638" max="4864" width="9" style="632"/>
    <col min="4865" max="4865" width="5" style="632" customWidth="1"/>
    <col min="4866" max="4866" width="11.25" style="632" customWidth="1"/>
    <col min="4867" max="4867" width="11.875" style="632" customWidth="1"/>
    <col min="4868" max="4868" width="13.5" style="632" customWidth="1"/>
    <col min="4869" max="4869" width="24.125" style="632" customWidth="1"/>
    <col min="4870" max="4870" width="11.875" style="632" customWidth="1"/>
    <col min="4871" max="4871" width="14.625" style="632" customWidth="1"/>
    <col min="4872" max="4872" width="9.875" style="632" customWidth="1"/>
    <col min="4873" max="4873" width="8.625" style="632" customWidth="1"/>
    <col min="4874" max="4874" width="33.25" style="632" customWidth="1"/>
    <col min="4875" max="4875" width="12.625" style="632" customWidth="1"/>
    <col min="4876" max="4876" width="10.875" style="632" customWidth="1"/>
    <col min="4877" max="4878" width="9.875" style="632" customWidth="1"/>
    <col min="4879" max="4879" width="8.5" style="632" customWidth="1"/>
    <col min="4880" max="4880" width="8.25" style="632" customWidth="1"/>
    <col min="4881" max="4881" width="11.25" style="632" customWidth="1"/>
    <col min="4882" max="4882" width="10.125" style="632" customWidth="1"/>
    <col min="4883" max="4883" width="11" style="632" customWidth="1"/>
    <col min="4884" max="4884" width="9.25" style="632" customWidth="1"/>
    <col min="4885" max="4885" width="10.125" style="632" customWidth="1"/>
    <col min="4886" max="4886" width="11" style="632" customWidth="1"/>
    <col min="4887" max="4887" width="10.5" style="632" customWidth="1"/>
    <col min="4888" max="4888" width="14.125" style="632" customWidth="1"/>
    <col min="4889" max="4889" width="12.375" style="632" customWidth="1"/>
    <col min="4890" max="4890" width="11.125" style="632" customWidth="1"/>
    <col min="4891" max="4891" width="9.375" style="632" customWidth="1"/>
    <col min="4892" max="4892" width="11" style="632" customWidth="1"/>
    <col min="4893" max="4893" width="8.875" style="632" customWidth="1"/>
    <col min="4894" max="5120" width="9" style="632"/>
    <col min="5121" max="5121" width="5" style="632" customWidth="1"/>
    <col min="5122" max="5122" width="11.25" style="632" customWidth="1"/>
    <col min="5123" max="5123" width="11.875" style="632" customWidth="1"/>
    <col min="5124" max="5124" width="13.5" style="632" customWidth="1"/>
    <col min="5125" max="5125" width="24.125" style="632" customWidth="1"/>
    <col min="5126" max="5126" width="11.875" style="632" customWidth="1"/>
    <col min="5127" max="5127" width="14.625" style="632" customWidth="1"/>
    <col min="5128" max="5128" width="9.875" style="632" customWidth="1"/>
    <col min="5129" max="5129" width="8.625" style="632" customWidth="1"/>
    <col min="5130" max="5130" width="33.25" style="632" customWidth="1"/>
    <col min="5131" max="5131" width="12.625" style="632" customWidth="1"/>
    <col min="5132" max="5132" width="10.875" style="632" customWidth="1"/>
    <col min="5133" max="5134" width="9.875" style="632" customWidth="1"/>
    <col min="5135" max="5135" width="8.5" style="632" customWidth="1"/>
    <col min="5136" max="5136" width="8.25" style="632" customWidth="1"/>
    <col min="5137" max="5137" width="11.25" style="632" customWidth="1"/>
    <col min="5138" max="5138" width="10.125" style="632" customWidth="1"/>
    <col min="5139" max="5139" width="11" style="632" customWidth="1"/>
    <col min="5140" max="5140" width="9.25" style="632" customWidth="1"/>
    <col min="5141" max="5141" width="10.125" style="632" customWidth="1"/>
    <col min="5142" max="5142" width="11" style="632" customWidth="1"/>
    <col min="5143" max="5143" width="10.5" style="632" customWidth="1"/>
    <col min="5144" max="5144" width="14.125" style="632" customWidth="1"/>
    <col min="5145" max="5145" width="12.375" style="632" customWidth="1"/>
    <col min="5146" max="5146" width="11.125" style="632" customWidth="1"/>
    <col min="5147" max="5147" width="9.375" style="632" customWidth="1"/>
    <col min="5148" max="5148" width="11" style="632" customWidth="1"/>
    <col min="5149" max="5149" width="8.875" style="632" customWidth="1"/>
    <col min="5150" max="5376" width="9" style="632"/>
    <col min="5377" max="5377" width="5" style="632" customWidth="1"/>
    <col min="5378" max="5378" width="11.25" style="632" customWidth="1"/>
    <col min="5379" max="5379" width="11.875" style="632" customWidth="1"/>
    <col min="5380" max="5380" width="13.5" style="632" customWidth="1"/>
    <col min="5381" max="5381" width="24.125" style="632" customWidth="1"/>
    <col min="5382" max="5382" width="11.875" style="632" customWidth="1"/>
    <col min="5383" max="5383" width="14.625" style="632" customWidth="1"/>
    <col min="5384" max="5384" width="9.875" style="632" customWidth="1"/>
    <col min="5385" max="5385" width="8.625" style="632" customWidth="1"/>
    <col min="5386" max="5386" width="33.25" style="632" customWidth="1"/>
    <col min="5387" max="5387" width="12.625" style="632" customWidth="1"/>
    <col min="5388" max="5388" width="10.875" style="632" customWidth="1"/>
    <col min="5389" max="5390" width="9.875" style="632" customWidth="1"/>
    <col min="5391" max="5391" width="8.5" style="632" customWidth="1"/>
    <col min="5392" max="5392" width="8.25" style="632" customWidth="1"/>
    <col min="5393" max="5393" width="11.25" style="632" customWidth="1"/>
    <col min="5394" max="5394" width="10.125" style="632" customWidth="1"/>
    <col min="5395" max="5395" width="11" style="632" customWidth="1"/>
    <col min="5396" max="5396" width="9.25" style="632" customWidth="1"/>
    <col min="5397" max="5397" width="10.125" style="632" customWidth="1"/>
    <col min="5398" max="5398" width="11" style="632" customWidth="1"/>
    <col min="5399" max="5399" width="10.5" style="632" customWidth="1"/>
    <col min="5400" max="5400" width="14.125" style="632" customWidth="1"/>
    <col min="5401" max="5401" width="12.375" style="632" customWidth="1"/>
    <col min="5402" max="5402" width="11.125" style="632" customWidth="1"/>
    <col min="5403" max="5403" width="9.375" style="632" customWidth="1"/>
    <col min="5404" max="5404" width="11" style="632" customWidth="1"/>
    <col min="5405" max="5405" width="8.875" style="632" customWidth="1"/>
    <col min="5406" max="5632" width="9" style="632"/>
    <col min="5633" max="5633" width="5" style="632" customWidth="1"/>
    <col min="5634" max="5634" width="11.25" style="632" customWidth="1"/>
    <col min="5635" max="5635" width="11.875" style="632" customWidth="1"/>
    <col min="5636" max="5636" width="13.5" style="632" customWidth="1"/>
    <col min="5637" max="5637" width="24.125" style="632" customWidth="1"/>
    <col min="5638" max="5638" width="11.875" style="632" customWidth="1"/>
    <col min="5639" max="5639" width="14.625" style="632" customWidth="1"/>
    <col min="5640" max="5640" width="9.875" style="632" customWidth="1"/>
    <col min="5641" max="5641" width="8.625" style="632" customWidth="1"/>
    <col min="5642" max="5642" width="33.25" style="632" customWidth="1"/>
    <col min="5643" max="5643" width="12.625" style="632" customWidth="1"/>
    <col min="5644" max="5644" width="10.875" style="632" customWidth="1"/>
    <col min="5645" max="5646" width="9.875" style="632" customWidth="1"/>
    <col min="5647" max="5647" width="8.5" style="632" customWidth="1"/>
    <col min="5648" max="5648" width="8.25" style="632" customWidth="1"/>
    <col min="5649" max="5649" width="11.25" style="632" customWidth="1"/>
    <col min="5650" max="5650" width="10.125" style="632" customWidth="1"/>
    <col min="5651" max="5651" width="11" style="632" customWidth="1"/>
    <col min="5652" max="5652" width="9.25" style="632" customWidth="1"/>
    <col min="5653" max="5653" width="10.125" style="632" customWidth="1"/>
    <col min="5654" max="5654" width="11" style="632" customWidth="1"/>
    <col min="5655" max="5655" width="10.5" style="632" customWidth="1"/>
    <col min="5656" max="5656" width="14.125" style="632" customWidth="1"/>
    <col min="5657" max="5657" width="12.375" style="632" customWidth="1"/>
    <col min="5658" max="5658" width="11.125" style="632" customWidth="1"/>
    <col min="5659" max="5659" width="9.375" style="632" customWidth="1"/>
    <col min="5660" max="5660" width="11" style="632" customWidth="1"/>
    <col min="5661" max="5661" width="8.875" style="632" customWidth="1"/>
    <col min="5662" max="5888" width="9" style="632"/>
    <col min="5889" max="5889" width="5" style="632" customWidth="1"/>
    <col min="5890" max="5890" width="11.25" style="632" customWidth="1"/>
    <col min="5891" max="5891" width="11.875" style="632" customWidth="1"/>
    <col min="5892" max="5892" width="13.5" style="632" customWidth="1"/>
    <col min="5893" max="5893" width="24.125" style="632" customWidth="1"/>
    <col min="5894" max="5894" width="11.875" style="632" customWidth="1"/>
    <col min="5895" max="5895" width="14.625" style="632" customWidth="1"/>
    <col min="5896" max="5896" width="9.875" style="632" customWidth="1"/>
    <col min="5897" max="5897" width="8.625" style="632" customWidth="1"/>
    <col min="5898" max="5898" width="33.25" style="632" customWidth="1"/>
    <col min="5899" max="5899" width="12.625" style="632" customWidth="1"/>
    <col min="5900" max="5900" width="10.875" style="632" customWidth="1"/>
    <col min="5901" max="5902" width="9.875" style="632" customWidth="1"/>
    <col min="5903" max="5903" width="8.5" style="632" customWidth="1"/>
    <col min="5904" max="5904" width="8.25" style="632" customWidth="1"/>
    <col min="5905" max="5905" width="11.25" style="632" customWidth="1"/>
    <col min="5906" max="5906" width="10.125" style="632" customWidth="1"/>
    <col min="5907" max="5907" width="11" style="632" customWidth="1"/>
    <col min="5908" max="5908" width="9.25" style="632" customWidth="1"/>
    <col min="5909" max="5909" width="10.125" style="632" customWidth="1"/>
    <col min="5910" max="5910" width="11" style="632" customWidth="1"/>
    <col min="5911" max="5911" width="10.5" style="632" customWidth="1"/>
    <col min="5912" max="5912" width="14.125" style="632" customWidth="1"/>
    <col min="5913" max="5913" width="12.375" style="632" customWidth="1"/>
    <col min="5914" max="5914" width="11.125" style="632" customWidth="1"/>
    <col min="5915" max="5915" width="9.375" style="632" customWidth="1"/>
    <col min="5916" max="5916" width="11" style="632" customWidth="1"/>
    <col min="5917" max="5917" width="8.875" style="632" customWidth="1"/>
    <col min="5918" max="6144" width="9" style="632"/>
    <col min="6145" max="6145" width="5" style="632" customWidth="1"/>
    <col min="6146" max="6146" width="11.25" style="632" customWidth="1"/>
    <col min="6147" max="6147" width="11.875" style="632" customWidth="1"/>
    <col min="6148" max="6148" width="13.5" style="632" customWidth="1"/>
    <col min="6149" max="6149" width="24.125" style="632" customWidth="1"/>
    <col min="6150" max="6150" width="11.875" style="632" customWidth="1"/>
    <col min="6151" max="6151" width="14.625" style="632" customWidth="1"/>
    <col min="6152" max="6152" width="9.875" style="632" customWidth="1"/>
    <col min="6153" max="6153" width="8.625" style="632" customWidth="1"/>
    <col min="6154" max="6154" width="33.25" style="632" customWidth="1"/>
    <col min="6155" max="6155" width="12.625" style="632" customWidth="1"/>
    <col min="6156" max="6156" width="10.875" style="632" customWidth="1"/>
    <col min="6157" max="6158" width="9.875" style="632" customWidth="1"/>
    <col min="6159" max="6159" width="8.5" style="632" customWidth="1"/>
    <col min="6160" max="6160" width="8.25" style="632" customWidth="1"/>
    <col min="6161" max="6161" width="11.25" style="632" customWidth="1"/>
    <col min="6162" max="6162" width="10.125" style="632" customWidth="1"/>
    <col min="6163" max="6163" width="11" style="632" customWidth="1"/>
    <col min="6164" max="6164" width="9.25" style="632" customWidth="1"/>
    <col min="6165" max="6165" width="10.125" style="632" customWidth="1"/>
    <col min="6166" max="6166" width="11" style="632" customWidth="1"/>
    <col min="6167" max="6167" width="10.5" style="632" customWidth="1"/>
    <col min="6168" max="6168" width="14.125" style="632" customWidth="1"/>
    <col min="6169" max="6169" width="12.375" style="632" customWidth="1"/>
    <col min="6170" max="6170" width="11.125" style="632" customWidth="1"/>
    <col min="6171" max="6171" width="9.375" style="632" customWidth="1"/>
    <col min="6172" max="6172" width="11" style="632" customWidth="1"/>
    <col min="6173" max="6173" width="8.875" style="632" customWidth="1"/>
    <col min="6174" max="6400" width="9" style="632"/>
    <col min="6401" max="6401" width="5" style="632" customWidth="1"/>
    <col min="6402" max="6402" width="11.25" style="632" customWidth="1"/>
    <col min="6403" max="6403" width="11.875" style="632" customWidth="1"/>
    <col min="6404" max="6404" width="13.5" style="632" customWidth="1"/>
    <col min="6405" max="6405" width="24.125" style="632" customWidth="1"/>
    <col min="6406" max="6406" width="11.875" style="632" customWidth="1"/>
    <col min="6407" max="6407" width="14.625" style="632" customWidth="1"/>
    <col min="6408" max="6408" width="9.875" style="632" customWidth="1"/>
    <col min="6409" max="6409" width="8.625" style="632" customWidth="1"/>
    <col min="6410" max="6410" width="33.25" style="632" customWidth="1"/>
    <col min="6411" max="6411" width="12.625" style="632" customWidth="1"/>
    <col min="6412" max="6412" width="10.875" style="632" customWidth="1"/>
    <col min="6413" max="6414" width="9.875" style="632" customWidth="1"/>
    <col min="6415" max="6415" width="8.5" style="632" customWidth="1"/>
    <col min="6416" max="6416" width="8.25" style="632" customWidth="1"/>
    <col min="6417" max="6417" width="11.25" style="632" customWidth="1"/>
    <col min="6418" max="6418" width="10.125" style="632" customWidth="1"/>
    <col min="6419" max="6419" width="11" style="632" customWidth="1"/>
    <col min="6420" max="6420" width="9.25" style="632" customWidth="1"/>
    <col min="6421" max="6421" width="10.125" style="632" customWidth="1"/>
    <col min="6422" max="6422" width="11" style="632" customWidth="1"/>
    <col min="6423" max="6423" width="10.5" style="632" customWidth="1"/>
    <col min="6424" max="6424" width="14.125" style="632" customWidth="1"/>
    <col min="6425" max="6425" width="12.375" style="632" customWidth="1"/>
    <col min="6426" max="6426" width="11.125" style="632" customWidth="1"/>
    <col min="6427" max="6427" width="9.375" style="632" customWidth="1"/>
    <col min="6428" max="6428" width="11" style="632" customWidth="1"/>
    <col min="6429" max="6429" width="8.875" style="632" customWidth="1"/>
    <col min="6430" max="6656" width="9" style="632"/>
    <col min="6657" max="6657" width="5" style="632" customWidth="1"/>
    <col min="6658" max="6658" width="11.25" style="632" customWidth="1"/>
    <col min="6659" max="6659" width="11.875" style="632" customWidth="1"/>
    <col min="6660" max="6660" width="13.5" style="632" customWidth="1"/>
    <col min="6661" max="6661" width="24.125" style="632" customWidth="1"/>
    <col min="6662" max="6662" width="11.875" style="632" customWidth="1"/>
    <col min="6663" max="6663" width="14.625" style="632" customWidth="1"/>
    <col min="6664" max="6664" width="9.875" style="632" customWidth="1"/>
    <col min="6665" max="6665" width="8.625" style="632" customWidth="1"/>
    <col min="6666" max="6666" width="33.25" style="632" customWidth="1"/>
    <col min="6667" max="6667" width="12.625" style="632" customWidth="1"/>
    <col min="6668" max="6668" width="10.875" style="632" customWidth="1"/>
    <col min="6669" max="6670" width="9.875" style="632" customWidth="1"/>
    <col min="6671" max="6671" width="8.5" style="632" customWidth="1"/>
    <col min="6672" max="6672" width="8.25" style="632" customWidth="1"/>
    <col min="6673" max="6673" width="11.25" style="632" customWidth="1"/>
    <col min="6674" max="6674" width="10.125" style="632" customWidth="1"/>
    <col min="6675" max="6675" width="11" style="632" customWidth="1"/>
    <col min="6676" max="6676" width="9.25" style="632" customWidth="1"/>
    <col min="6677" max="6677" width="10.125" style="632" customWidth="1"/>
    <col min="6678" max="6678" width="11" style="632" customWidth="1"/>
    <col min="6679" max="6679" width="10.5" style="632" customWidth="1"/>
    <col min="6680" max="6680" width="14.125" style="632" customWidth="1"/>
    <col min="6681" max="6681" width="12.375" style="632" customWidth="1"/>
    <col min="6682" max="6682" width="11.125" style="632" customWidth="1"/>
    <col min="6683" max="6683" width="9.375" style="632" customWidth="1"/>
    <col min="6684" max="6684" width="11" style="632" customWidth="1"/>
    <col min="6685" max="6685" width="8.875" style="632" customWidth="1"/>
    <col min="6686" max="6912" width="9" style="632"/>
    <col min="6913" max="6913" width="5" style="632" customWidth="1"/>
    <col min="6914" max="6914" width="11.25" style="632" customWidth="1"/>
    <col min="6915" max="6915" width="11.875" style="632" customWidth="1"/>
    <col min="6916" max="6916" width="13.5" style="632" customWidth="1"/>
    <col min="6917" max="6917" width="24.125" style="632" customWidth="1"/>
    <col min="6918" max="6918" width="11.875" style="632" customWidth="1"/>
    <col min="6919" max="6919" width="14.625" style="632" customWidth="1"/>
    <col min="6920" max="6920" width="9.875" style="632" customWidth="1"/>
    <col min="6921" max="6921" width="8.625" style="632" customWidth="1"/>
    <col min="6922" max="6922" width="33.25" style="632" customWidth="1"/>
    <col min="6923" max="6923" width="12.625" style="632" customWidth="1"/>
    <col min="6924" max="6924" width="10.875" style="632" customWidth="1"/>
    <col min="6925" max="6926" width="9.875" style="632" customWidth="1"/>
    <col min="6927" max="6927" width="8.5" style="632" customWidth="1"/>
    <col min="6928" max="6928" width="8.25" style="632" customWidth="1"/>
    <col min="6929" max="6929" width="11.25" style="632" customWidth="1"/>
    <col min="6930" max="6930" width="10.125" style="632" customWidth="1"/>
    <col min="6931" max="6931" width="11" style="632" customWidth="1"/>
    <col min="6932" max="6932" width="9.25" style="632" customWidth="1"/>
    <col min="6933" max="6933" width="10.125" style="632" customWidth="1"/>
    <col min="6934" max="6934" width="11" style="632" customWidth="1"/>
    <col min="6935" max="6935" width="10.5" style="632" customWidth="1"/>
    <col min="6936" max="6936" width="14.125" style="632" customWidth="1"/>
    <col min="6937" max="6937" width="12.375" style="632" customWidth="1"/>
    <col min="6938" max="6938" width="11.125" style="632" customWidth="1"/>
    <col min="6939" max="6939" width="9.375" style="632" customWidth="1"/>
    <col min="6940" max="6940" width="11" style="632" customWidth="1"/>
    <col min="6941" max="6941" width="8.875" style="632" customWidth="1"/>
    <col min="6942" max="7168" width="9" style="632"/>
    <col min="7169" max="7169" width="5" style="632" customWidth="1"/>
    <col min="7170" max="7170" width="11.25" style="632" customWidth="1"/>
    <col min="7171" max="7171" width="11.875" style="632" customWidth="1"/>
    <col min="7172" max="7172" width="13.5" style="632" customWidth="1"/>
    <col min="7173" max="7173" width="24.125" style="632" customWidth="1"/>
    <col min="7174" max="7174" width="11.875" style="632" customWidth="1"/>
    <col min="7175" max="7175" width="14.625" style="632" customWidth="1"/>
    <col min="7176" max="7176" width="9.875" style="632" customWidth="1"/>
    <col min="7177" max="7177" width="8.625" style="632" customWidth="1"/>
    <col min="7178" max="7178" width="33.25" style="632" customWidth="1"/>
    <col min="7179" max="7179" width="12.625" style="632" customWidth="1"/>
    <col min="7180" max="7180" width="10.875" style="632" customWidth="1"/>
    <col min="7181" max="7182" width="9.875" style="632" customWidth="1"/>
    <col min="7183" max="7183" width="8.5" style="632" customWidth="1"/>
    <col min="7184" max="7184" width="8.25" style="632" customWidth="1"/>
    <col min="7185" max="7185" width="11.25" style="632" customWidth="1"/>
    <col min="7186" max="7186" width="10.125" style="632" customWidth="1"/>
    <col min="7187" max="7187" width="11" style="632" customWidth="1"/>
    <col min="7188" max="7188" width="9.25" style="632" customWidth="1"/>
    <col min="7189" max="7189" width="10.125" style="632" customWidth="1"/>
    <col min="7190" max="7190" width="11" style="632" customWidth="1"/>
    <col min="7191" max="7191" width="10.5" style="632" customWidth="1"/>
    <col min="7192" max="7192" width="14.125" style="632" customWidth="1"/>
    <col min="7193" max="7193" width="12.375" style="632" customWidth="1"/>
    <col min="7194" max="7194" width="11.125" style="632" customWidth="1"/>
    <col min="7195" max="7195" width="9.375" style="632" customWidth="1"/>
    <col min="7196" max="7196" width="11" style="632" customWidth="1"/>
    <col min="7197" max="7197" width="8.875" style="632" customWidth="1"/>
    <col min="7198" max="7424" width="9" style="632"/>
    <col min="7425" max="7425" width="5" style="632" customWidth="1"/>
    <col min="7426" max="7426" width="11.25" style="632" customWidth="1"/>
    <col min="7427" max="7427" width="11.875" style="632" customWidth="1"/>
    <col min="7428" max="7428" width="13.5" style="632" customWidth="1"/>
    <col min="7429" max="7429" width="24.125" style="632" customWidth="1"/>
    <col min="7430" max="7430" width="11.875" style="632" customWidth="1"/>
    <col min="7431" max="7431" width="14.625" style="632" customWidth="1"/>
    <col min="7432" max="7432" width="9.875" style="632" customWidth="1"/>
    <col min="7433" max="7433" width="8.625" style="632" customWidth="1"/>
    <col min="7434" max="7434" width="33.25" style="632" customWidth="1"/>
    <col min="7435" max="7435" width="12.625" style="632" customWidth="1"/>
    <col min="7436" max="7436" width="10.875" style="632" customWidth="1"/>
    <col min="7437" max="7438" width="9.875" style="632" customWidth="1"/>
    <col min="7439" max="7439" width="8.5" style="632" customWidth="1"/>
    <col min="7440" max="7440" width="8.25" style="632" customWidth="1"/>
    <col min="7441" max="7441" width="11.25" style="632" customWidth="1"/>
    <col min="7442" max="7442" width="10.125" style="632" customWidth="1"/>
    <col min="7443" max="7443" width="11" style="632" customWidth="1"/>
    <col min="7444" max="7444" width="9.25" style="632" customWidth="1"/>
    <col min="7445" max="7445" width="10.125" style="632" customWidth="1"/>
    <col min="7446" max="7446" width="11" style="632" customWidth="1"/>
    <col min="7447" max="7447" width="10.5" style="632" customWidth="1"/>
    <col min="7448" max="7448" width="14.125" style="632" customWidth="1"/>
    <col min="7449" max="7449" width="12.375" style="632" customWidth="1"/>
    <col min="7450" max="7450" width="11.125" style="632" customWidth="1"/>
    <col min="7451" max="7451" width="9.375" style="632" customWidth="1"/>
    <col min="7452" max="7452" width="11" style="632" customWidth="1"/>
    <col min="7453" max="7453" width="8.875" style="632" customWidth="1"/>
    <col min="7454" max="7680" width="9" style="632"/>
    <col min="7681" max="7681" width="5" style="632" customWidth="1"/>
    <col min="7682" max="7682" width="11.25" style="632" customWidth="1"/>
    <col min="7683" max="7683" width="11.875" style="632" customWidth="1"/>
    <col min="7684" max="7684" width="13.5" style="632" customWidth="1"/>
    <col min="7685" max="7685" width="24.125" style="632" customWidth="1"/>
    <col min="7686" max="7686" width="11.875" style="632" customWidth="1"/>
    <col min="7687" max="7687" width="14.625" style="632" customWidth="1"/>
    <col min="7688" max="7688" width="9.875" style="632" customWidth="1"/>
    <col min="7689" max="7689" width="8.625" style="632" customWidth="1"/>
    <col min="7690" max="7690" width="33.25" style="632" customWidth="1"/>
    <col min="7691" max="7691" width="12.625" style="632" customWidth="1"/>
    <col min="7692" max="7692" width="10.875" style="632" customWidth="1"/>
    <col min="7693" max="7694" width="9.875" style="632" customWidth="1"/>
    <col min="7695" max="7695" width="8.5" style="632" customWidth="1"/>
    <col min="7696" max="7696" width="8.25" style="632" customWidth="1"/>
    <col min="7697" max="7697" width="11.25" style="632" customWidth="1"/>
    <col min="7698" max="7698" width="10.125" style="632" customWidth="1"/>
    <col min="7699" max="7699" width="11" style="632" customWidth="1"/>
    <col min="7700" max="7700" width="9.25" style="632" customWidth="1"/>
    <col min="7701" max="7701" width="10.125" style="632" customWidth="1"/>
    <col min="7702" max="7702" width="11" style="632" customWidth="1"/>
    <col min="7703" max="7703" width="10.5" style="632" customWidth="1"/>
    <col min="7704" max="7704" width="14.125" style="632" customWidth="1"/>
    <col min="7705" max="7705" width="12.375" style="632" customWidth="1"/>
    <col min="7706" max="7706" width="11.125" style="632" customWidth="1"/>
    <col min="7707" max="7707" width="9.375" style="632" customWidth="1"/>
    <col min="7708" max="7708" width="11" style="632" customWidth="1"/>
    <col min="7709" max="7709" width="8.875" style="632" customWidth="1"/>
    <col min="7710" max="7936" width="9" style="632"/>
    <col min="7937" max="7937" width="5" style="632" customWidth="1"/>
    <col min="7938" max="7938" width="11.25" style="632" customWidth="1"/>
    <col min="7939" max="7939" width="11.875" style="632" customWidth="1"/>
    <col min="7940" max="7940" width="13.5" style="632" customWidth="1"/>
    <col min="7941" max="7941" width="24.125" style="632" customWidth="1"/>
    <col min="7942" max="7942" width="11.875" style="632" customWidth="1"/>
    <col min="7943" max="7943" width="14.625" style="632" customWidth="1"/>
    <col min="7944" max="7944" width="9.875" style="632" customWidth="1"/>
    <col min="7945" max="7945" width="8.625" style="632" customWidth="1"/>
    <col min="7946" max="7946" width="33.25" style="632" customWidth="1"/>
    <col min="7947" max="7947" width="12.625" style="632" customWidth="1"/>
    <col min="7948" max="7948" width="10.875" style="632" customWidth="1"/>
    <col min="7949" max="7950" width="9.875" style="632" customWidth="1"/>
    <col min="7951" max="7951" width="8.5" style="632" customWidth="1"/>
    <col min="7952" max="7952" width="8.25" style="632" customWidth="1"/>
    <col min="7953" max="7953" width="11.25" style="632" customWidth="1"/>
    <col min="7954" max="7954" width="10.125" style="632" customWidth="1"/>
    <col min="7955" max="7955" width="11" style="632" customWidth="1"/>
    <col min="7956" max="7956" width="9.25" style="632" customWidth="1"/>
    <col min="7957" max="7957" width="10.125" style="632" customWidth="1"/>
    <col min="7958" max="7958" width="11" style="632" customWidth="1"/>
    <col min="7959" max="7959" width="10.5" style="632" customWidth="1"/>
    <col min="7960" max="7960" width="14.125" style="632" customWidth="1"/>
    <col min="7961" max="7961" width="12.375" style="632" customWidth="1"/>
    <col min="7962" max="7962" width="11.125" style="632" customWidth="1"/>
    <col min="7963" max="7963" width="9.375" style="632" customWidth="1"/>
    <col min="7964" max="7964" width="11" style="632" customWidth="1"/>
    <col min="7965" max="7965" width="8.875" style="632" customWidth="1"/>
    <col min="7966" max="8192" width="9" style="632"/>
    <col min="8193" max="8193" width="5" style="632" customWidth="1"/>
    <col min="8194" max="8194" width="11.25" style="632" customWidth="1"/>
    <col min="8195" max="8195" width="11.875" style="632" customWidth="1"/>
    <col min="8196" max="8196" width="13.5" style="632" customWidth="1"/>
    <col min="8197" max="8197" width="24.125" style="632" customWidth="1"/>
    <col min="8198" max="8198" width="11.875" style="632" customWidth="1"/>
    <col min="8199" max="8199" width="14.625" style="632" customWidth="1"/>
    <col min="8200" max="8200" width="9.875" style="632" customWidth="1"/>
    <col min="8201" max="8201" width="8.625" style="632" customWidth="1"/>
    <col min="8202" max="8202" width="33.25" style="632" customWidth="1"/>
    <col min="8203" max="8203" width="12.625" style="632" customWidth="1"/>
    <col min="8204" max="8204" width="10.875" style="632" customWidth="1"/>
    <col min="8205" max="8206" width="9.875" style="632" customWidth="1"/>
    <col min="8207" max="8207" width="8.5" style="632" customWidth="1"/>
    <col min="8208" max="8208" width="8.25" style="632" customWidth="1"/>
    <col min="8209" max="8209" width="11.25" style="632" customWidth="1"/>
    <col min="8210" max="8210" width="10.125" style="632" customWidth="1"/>
    <col min="8211" max="8211" width="11" style="632" customWidth="1"/>
    <col min="8212" max="8212" width="9.25" style="632" customWidth="1"/>
    <col min="8213" max="8213" width="10.125" style="632" customWidth="1"/>
    <col min="8214" max="8214" width="11" style="632" customWidth="1"/>
    <col min="8215" max="8215" width="10.5" style="632" customWidth="1"/>
    <col min="8216" max="8216" width="14.125" style="632" customWidth="1"/>
    <col min="8217" max="8217" width="12.375" style="632" customWidth="1"/>
    <col min="8218" max="8218" width="11.125" style="632" customWidth="1"/>
    <col min="8219" max="8219" width="9.375" style="632" customWidth="1"/>
    <col min="8220" max="8220" width="11" style="632" customWidth="1"/>
    <col min="8221" max="8221" width="8.875" style="632" customWidth="1"/>
    <col min="8222" max="8448" width="9" style="632"/>
    <col min="8449" max="8449" width="5" style="632" customWidth="1"/>
    <col min="8450" max="8450" width="11.25" style="632" customWidth="1"/>
    <col min="8451" max="8451" width="11.875" style="632" customWidth="1"/>
    <col min="8452" max="8452" width="13.5" style="632" customWidth="1"/>
    <col min="8453" max="8453" width="24.125" style="632" customWidth="1"/>
    <col min="8454" max="8454" width="11.875" style="632" customWidth="1"/>
    <col min="8455" max="8455" width="14.625" style="632" customWidth="1"/>
    <col min="8456" max="8456" width="9.875" style="632" customWidth="1"/>
    <col min="8457" max="8457" width="8.625" style="632" customWidth="1"/>
    <col min="8458" max="8458" width="33.25" style="632" customWidth="1"/>
    <col min="8459" max="8459" width="12.625" style="632" customWidth="1"/>
    <col min="8460" max="8460" width="10.875" style="632" customWidth="1"/>
    <col min="8461" max="8462" width="9.875" style="632" customWidth="1"/>
    <col min="8463" max="8463" width="8.5" style="632" customWidth="1"/>
    <col min="8464" max="8464" width="8.25" style="632" customWidth="1"/>
    <col min="8465" max="8465" width="11.25" style="632" customWidth="1"/>
    <col min="8466" max="8466" width="10.125" style="632" customWidth="1"/>
    <col min="8467" max="8467" width="11" style="632" customWidth="1"/>
    <col min="8468" max="8468" width="9.25" style="632" customWidth="1"/>
    <col min="8469" max="8469" width="10.125" style="632" customWidth="1"/>
    <col min="8470" max="8470" width="11" style="632" customWidth="1"/>
    <col min="8471" max="8471" width="10.5" style="632" customWidth="1"/>
    <col min="8472" max="8472" width="14.125" style="632" customWidth="1"/>
    <col min="8473" max="8473" width="12.375" style="632" customWidth="1"/>
    <col min="8474" max="8474" width="11.125" style="632" customWidth="1"/>
    <col min="8475" max="8475" width="9.375" style="632" customWidth="1"/>
    <col min="8476" max="8476" width="11" style="632" customWidth="1"/>
    <col min="8477" max="8477" width="8.875" style="632" customWidth="1"/>
    <col min="8478" max="8704" width="9" style="632"/>
    <col min="8705" max="8705" width="5" style="632" customWidth="1"/>
    <col min="8706" max="8706" width="11.25" style="632" customWidth="1"/>
    <col min="8707" max="8707" width="11.875" style="632" customWidth="1"/>
    <col min="8708" max="8708" width="13.5" style="632" customWidth="1"/>
    <col min="8709" max="8709" width="24.125" style="632" customWidth="1"/>
    <col min="8710" max="8710" width="11.875" style="632" customWidth="1"/>
    <col min="8711" max="8711" width="14.625" style="632" customWidth="1"/>
    <col min="8712" max="8712" width="9.875" style="632" customWidth="1"/>
    <col min="8713" max="8713" width="8.625" style="632" customWidth="1"/>
    <col min="8714" max="8714" width="33.25" style="632" customWidth="1"/>
    <col min="8715" max="8715" width="12.625" style="632" customWidth="1"/>
    <col min="8716" max="8716" width="10.875" style="632" customWidth="1"/>
    <col min="8717" max="8718" width="9.875" style="632" customWidth="1"/>
    <col min="8719" max="8719" width="8.5" style="632" customWidth="1"/>
    <col min="8720" max="8720" width="8.25" style="632" customWidth="1"/>
    <col min="8721" max="8721" width="11.25" style="632" customWidth="1"/>
    <col min="8722" max="8722" width="10.125" style="632" customWidth="1"/>
    <col min="8723" max="8723" width="11" style="632" customWidth="1"/>
    <col min="8724" max="8724" width="9.25" style="632" customWidth="1"/>
    <col min="8725" max="8725" width="10.125" style="632" customWidth="1"/>
    <col min="8726" max="8726" width="11" style="632" customWidth="1"/>
    <col min="8727" max="8727" width="10.5" style="632" customWidth="1"/>
    <col min="8728" max="8728" width="14.125" style="632" customWidth="1"/>
    <col min="8729" max="8729" width="12.375" style="632" customWidth="1"/>
    <col min="8730" max="8730" width="11.125" style="632" customWidth="1"/>
    <col min="8731" max="8731" width="9.375" style="632" customWidth="1"/>
    <col min="8732" max="8732" width="11" style="632" customWidth="1"/>
    <col min="8733" max="8733" width="8.875" style="632" customWidth="1"/>
    <col min="8734" max="8960" width="9" style="632"/>
    <col min="8961" max="8961" width="5" style="632" customWidth="1"/>
    <col min="8962" max="8962" width="11.25" style="632" customWidth="1"/>
    <col min="8963" max="8963" width="11.875" style="632" customWidth="1"/>
    <col min="8964" max="8964" width="13.5" style="632" customWidth="1"/>
    <col min="8965" max="8965" width="24.125" style="632" customWidth="1"/>
    <col min="8966" max="8966" width="11.875" style="632" customWidth="1"/>
    <col min="8967" max="8967" width="14.625" style="632" customWidth="1"/>
    <col min="8968" max="8968" width="9.875" style="632" customWidth="1"/>
    <col min="8969" max="8969" width="8.625" style="632" customWidth="1"/>
    <col min="8970" max="8970" width="33.25" style="632" customWidth="1"/>
    <col min="8971" max="8971" width="12.625" style="632" customWidth="1"/>
    <col min="8972" max="8972" width="10.875" style="632" customWidth="1"/>
    <col min="8973" max="8974" width="9.875" style="632" customWidth="1"/>
    <col min="8975" max="8975" width="8.5" style="632" customWidth="1"/>
    <col min="8976" max="8976" width="8.25" style="632" customWidth="1"/>
    <col min="8977" max="8977" width="11.25" style="632" customWidth="1"/>
    <col min="8978" max="8978" width="10.125" style="632" customWidth="1"/>
    <col min="8979" max="8979" width="11" style="632" customWidth="1"/>
    <col min="8980" max="8980" width="9.25" style="632" customWidth="1"/>
    <col min="8981" max="8981" width="10.125" style="632" customWidth="1"/>
    <col min="8982" max="8982" width="11" style="632" customWidth="1"/>
    <col min="8983" max="8983" width="10.5" style="632" customWidth="1"/>
    <col min="8984" max="8984" width="14.125" style="632" customWidth="1"/>
    <col min="8985" max="8985" width="12.375" style="632" customWidth="1"/>
    <col min="8986" max="8986" width="11.125" style="632" customWidth="1"/>
    <col min="8987" max="8987" width="9.375" style="632" customWidth="1"/>
    <col min="8988" max="8988" width="11" style="632" customWidth="1"/>
    <col min="8989" max="8989" width="8.875" style="632" customWidth="1"/>
    <col min="8990" max="9216" width="9" style="632"/>
    <col min="9217" max="9217" width="5" style="632" customWidth="1"/>
    <col min="9218" max="9218" width="11.25" style="632" customWidth="1"/>
    <col min="9219" max="9219" width="11.875" style="632" customWidth="1"/>
    <col min="9220" max="9220" width="13.5" style="632" customWidth="1"/>
    <col min="9221" max="9221" width="24.125" style="632" customWidth="1"/>
    <col min="9222" max="9222" width="11.875" style="632" customWidth="1"/>
    <col min="9223" max="9223" width="14.625" style="632" customWidth="1"/>
    <col min="9224" max="9224" width="9.875" style="632" customWidth="1"/>
    <col min="9225" max="9225" width="8.625" style="632" customWidth="1"/>
    <col min="9226" max="9226" width="33.25" style="632" customWidth="1"/>
    <col min="9227" max="9227" width="12.625" style="632" customWidth="1"/>
    <col min="9228" max="9228" width="10.875" style="632" customWidth="1"/>
    <col min="9229" max="9230" width="9.875" style="632" customWidth="1"/>
    <col min="9231" max="9231" width="8.5" style="632" customWidth="1"/>
    <col min="9232" max="9232" width="8.25" style="632" customWidth="1"/>
    <col min="9233" max="9233" width="11.25" style="632" customWidth="1"/>
    <col min="9234" max="9234" width="10.125" style="632" customWidth="1"/>
    <col min="9235" max="9235" width="11" style="632" customWidth="1"/>
    <col min="9236" max="9236" width="9.25" style="632" customWidth="1"/>
    <col min="9237" max="9237" width="10.125" style="632" customWidth="1"/>
    <col min="9238" max="9238" width="11" style="632" customWidth="1"/>
    <col min="9239" max="9239" width="10.5" style="632" customWidth="1"/>
    <col min="9240" max="9240" width="14.125" style="632" customWidth="1"/>
    <col min="9241" max="9241" width="12.375" style="632" customWidth="1"/>
    <col min="9242" max="9242" width="11.125" style="632" customWidth="1"/>
    <col min="9243" max="9243" width="9.375" style="632" customWidth="1"/>
    <col min="9244" max="9244" width="11" style="632" customWidth="1"/>
    <col min="9245" max="9245" width="8.875" style="632" customWidth="1"/>
    <col min="9246" max="9472" width="9" style="632"/>
    <col min="9473" max="9473" width="5" style="632" customWidth="1"/>
    <col min="9474" max="9474" width="11.25" style="632" customWidth="1"/>
    <col min="9475" max="9475" width="11.875" style="632" customWidth="1"/>
    <col min="9476" max="9476" width="13.5" style="632" customWidth="1"/>
    <col min="9477" max="9477" width="24.125" style="632" customWidth="1"/>
    <col min="9478" max="9478" width="11.875" style="632" customWidth="1"/>
    <col min="9479" max="9479" width="14.625" style="632" customWidth="1"/>
    <col min="9480" max="9480" width="9.875" style="632" customWidth="1"/>
    <col min="9481" max="9481" width="8.625" style="632" customWidth="1"/>
    <col min="9482" max="9482" width="33.25" style="632" customWidth="1"/>
    <col min="9483" max="9483" width="12.625" style="632" customWidth="1"/>
    <col min="9484" max="9484" width="10.875" style="632" customWidth="1"/>
    <col min="9485" max="9486" width="9.875" style="632" customWidth="1"/>
    <col min="9487" max="9487" width="8.5" style="632" customWidth="1"/>
    <col min="9488" max="9488" width="8.25" style="632" customWidth="1"/>
    <col min="9489" max="9489" width="11.25" style="632" customWidth="1"/>
    <col min="9490" max="9490" width="10.125" style="632" customWidth="1"/>
    <col min="9491" max="9491" width="11" style="632" customWidth="1"/>
    <col min="9492" max="9492" width="9.25" style="632" customWidth="1"/>
    <col min="9493" max="9493" width="10.125" style="632" customWidth="1"/>
    <col min="9494" max="9494" width="11" style="632" customWidth="1"/>
    <col min="9495" max="9495" width="10.5" style="632" customWidth="1"/>
    <col min="9496" max="9496" width="14.125" style="632" customWidth="1"/>
    <col min="9497" max="9497" width="12.375" style="632" customWidth="1"/>
    <col min="9498" max="9498" width="11.125" style="632" customWidth="1"/>
    <col min="9499" max="9499" width="9.375" style="632" customWidth="1"/>
    <col min="9500" max="9500" width="11" style="632" customWidth="1"/>
    <col min="9501" max="9501" width="8.875" style="632" customWidth="1"/>
    <col min="9502" max="9728" width="9" style="632"/>
    <col min="9729" max="9729" width="5" style="632" customWidth="1"/>
    <col min="9730" max="9730" width="11.25" style="632" customWidth="1"/>
    <col min="9731" max="9731" width="11.875" style="632" customWidth="1"/>
    <col min="9732" max="9732" width="13.5" style="632" customWidth="1"/>
    <col min="9733" max="9733" width="24.125" style="632" customWidth="1"/>
    <col min="9734" max="9734" width="11.875" style="632" customWidth="1"/>
    <col min="9735" max="9735" width="14.625" style="632" customWidth="1"/>
    <col min="9736" max="9736" width="9.875" style="632" customWidth="1"/>
    <col min="9737" max="9737" width="8.625" style="632" customWidth="1"/>
    <col min="9738" max="9738" width="33.25" style="632" customWidth="1"/>
    <col min="9739" max="9739" width="12.625" style="632" customWidth="1"/>
    <col min="9740" max="9740" width="10.875" style="632" customWidth="1"/>
    <col min="9741" max="9742" width="9.875" style="632" customWidth="1"/>
    <col min="9743" max="9743" width="8.5" style="632" customWidth="1"/>
    <col min="9744" max="9744" width="8.25" style="632" customWidth="1"/>
    <col min="9745" max="9745" width="11.25" style="632" customWidth="1"/>
    <col min="9746" max="9746" width="10.125" style="632" customWidth="1"/>
    <col min="9747" max="9747" width="11" style="632" customWidth="1"/>
    <col min="9748" max="9748" width="9.25" style="632" customWidth="1"/>
    <col min="9749" max="9749" width="10.125" style="632" customWidth="1"/>
    <col min="9750" max="9750" width="11" style="632" customWidth="1"/>
    <col min="9751" max="9751" width="10.5" style="632" customWidth="1"/>
    <col min="9752" max="9752" width="14.125" style="632" customWidth="1"/>
    <col min="9753" max="9753" width="12.375" style="632" customWidth="1"/>
    <col min="9754" max="9754" width="11.125" style="632" customWidth="1"/>
    <col min="9755" max="9755" width="9.375" style="632" customWidth="1"/>
    <col min="9756" max="9756" width="11" style="632" customWidth="1"/>
    <col min="9757" max="9757" width="8.875" style="632" customWidth="1"/>
    <col min="9758" max="9984" width="9" style="632"/>
    <col min="9985" max="9985" width="5" style="632" customWidth="1"/>
    <col min="9986" max="9986" width="11.25" style="632" customWidth="1"/>
    <col min="9987" max="9987" width="11.875" style="632" customWidth="1"/>
    <col min="9988" max="9988" width="13.5" style="632" customWidth="1"/>
    <col min="9989" max="9989" width="24.125" style="632" customWidth="1"/>
    <col min="9990" max="9990" width="11.875" style="632" customWidth="1"/>
    <col min="9991" max="9991" width="14.625" style="632" customWidth="1"/>
    <col min="9992" max="9992" width="9.875" style="632" customWidth="1"/>
    <col min="9993" max="9993" width="8.625" style="632" customWidth="1"/>
    <col min="9994" max="9994" width="33.25" style="632" customWidth="1"/>
    <col min="9995" max="9995" width="12.625" style="632" customWidth="1"/>
    <col min="9996" max="9996" width="10.875" style="632" customWidth="1"/>
    <col min="9997" max="9998" width="9.875" style="632" customWidth="1"/>
    <col min="9999" max="9999" width="8.5" style="632" customWidth="1"/>
    <col min="10000" max="10000" width="8.25" style="632" customWidth="1"/>
    <col min="10001" max="10001" width="11.25" style="632" customWidth="1"/>
    <col min="10002" max="10002" width="10.125" style="632" customWidth="1"/>
    <col min="10003" max="10003" width="11" style="632" customWidth="1"/>
    <col min="10004" max="10004" width="9.25" style="632" customWidth="1"/>
    <col min="10005" max="10005" width="10.125" style="632" customWidth="1"/>
    <col min="10006" max="10006" width="11" style="632" customWidth="1"/>
    <col min="10007" max="10007" width="10.5" style="632" customWidth="1"/>
    <col min="10008" max="10008" width="14.125" style="632" customWidth="1"/>
    <col min="10009" max="10009" width="12.375" style="632" customWidth="1"/>
    <col min="10010" max="10010" width="11.125" style="632" customWidth="1"/>
    <col min="10011" max="10011" width="9.375" style="632" customWidth="1"/>
    <col min="10012" max="10012" width="11" style="632" customWidth="1"/>
    <col min="10013" max="10013" width="8.875" style="632" customWidth="1"/>
    <col min="10014" max="10240" width="9" style="632"/>
    <col min="10241" max="10241" width="5" style="632" customWidth="1"/>
    <col min="10242" max="10242" width="11.25" style="632" customWidth="1"/>
    <col min="10243" max="10243" width="11.875" style="632" customWidth="1"/>
    <col min="10244" max="10244" width="13.5" style="632" customWidth="1"/>
    <col min="10245" max="10245" width="24.125" style="632" customWidth="1"/>
    <col min="10246" max="10246" width="11.875" style="632" customWidth="1"/>
    <col min="10247" max="10247" width="14.625" style="632" customWidth="1"/>
    <col min="10248" max="10248" width="9.875" style="632" customWidth="1"/>
    <col min="10249" max="10249" width="8.625" style="632" customWidth="1"/>
    <col min="10250" max="10250" width="33.25" style="632" customWidth="1"/>
    <col min="10251" max="10251" width="12.625" style="632" customWidth="1"/>
    <col min="10252" max="10252" width="10.875" style="632" customWidth="1"/>
    <col min="10253" max="10254" width="9.875" style="632" customWidth="1"/>
    <col min="10255" max="10255" width="8.5" style="632" customWidth="1"/>
    <col min="10256" max="10256" width="8.25" style="632" customWidth="1"/>
    <col min="10257" max="10257" width="11.25" style="632" customWidth="1"/>
    <col min="10258" max="10258" width="10.125" style="632" customWidth="1"/>
    <col min="10259" max="10259" width="11" style="632" customWidth="1"/>
    <col min="10260" max="10260" width="9.25" style="632" customWidth="1"/>
    <col min="10261" max="10261" width="10.125" style="632" customWidth="1"/>
    <col min="10262" max="10262" width="11" style="632" customWidth="1"/>
    <col min="10263" max="10263" width="10.5" style="632" customWidth="1"/>
    <col min="10264" max="10264" width="14.125" style="632" customWidth="1"/>
    <col min="10265" max="10265" width="12.375" style="632" customWidth="1"/>
    <col min="10266" max="10266" width="11.125" style="632" customWidth="1"/>
    <col min="10267" max="10267" width="9.375" style="632" customWidth="1"/>
    <col min="10268" max="10268" width="11" style="632" customWidth="1"/>
    <col min="10269" max="10269" width="8.875" style="632" customWidth="1"/>
    <col min="10270" max="10496" width="9" style="632"/>
    <col min="10497" max="10497" width="5" style="632" customWidth="1"/>
    <col min="10498" max="10498" width="11.25" style="632" customWidth="1"/>
    <col min="10499" max="10499" width="11.875" style="632" customWidth="1"/>
    <col min="10500" max="10500" width="13.5" style="632" customWidth="1"/>
    <col min="10501" max="10501" width="24.125" style="632" customWidth="1"/>
    <col min="10502" max="10502" width="11.875" style="632" customWidth="1"/>
    <col min="10503" max="10503" width="14.625" style="632" customWidth="1"/>
    <col min="10504" max="10504" width="9.875" style="632" customWidth="1"/>
    <col min="10505" max="10505" width="8.625" style="632" customWidth="1"/>
    <col min="10506" max="10506" width="33.25" style="632" customWidth="1"/>
    <col min="10507" max="10507" width="12.625" style="632" customWidth="1"/>
    <col min="10508" max="10508" width="10.875" style="632" customWidth="1"/>
    <col min="10509" max="10510" width="9.875" style="632" customWidth="1"/>
    <col min="10511" max="10511" width="8.5" style="632" customWidth="1"/>
    <col min="10512" max="10512" width="8.25" style="632" customWidth="1"/>
    <col min="10513" max="10513" width="11.25" style="632" customWidth="1"/>
    <col min="10514" max="10514" width="10.125" style="632" customWidth="1"/>
    <col min="10515" max="10515" width="11" style="632" customWidth="1"/>
    <col min="10516" max="10516" width="9.25" style="632" customWidth="1"/>
    <col min="10517" max="10517" width="10.125" style="632" customWidth="1"/>
    <col min="10518" max="10518" width="11" style="632" customWidth="1"/>
    <col min="10519" max="10519" width="10.5" style="632" customWidth="1"/>
    <col min="10520" max="10520" width="14.125" style="632" customWidth="1"/>
    <col min="10521" max="10521" width="12.375" style="632" customWidth="1"/>
    <col min="10522" max="10522" width="11.125" style="632" customWidth="1"/>
    <col min="10523" max="10523" width="9.375" style="632" customWidth="1"/>
    <col min="10524" max="10524" width="11" style="632" customWidth="1"/>
    <col min="10525" max="10525" width="8.875" style="632" customWidth="1"/>
    <col min="10526" max="10752" width="9" style="632"/>
    <col min="10753" max="10753" width="5" style="632" customWidth="1"/>
    <col min="10754" max="10754" width="11.25" style="632" customWidth="1"/>
    <col min="10755" max="10755" width="11.875" style="632" customWidth="1"/>
    <col min="10756" max="10756" width="13.5" style="632" customWidth="1"/>
    <col min="10757" max="10757" width="24.125" style="632" customWidth="1"/>
    <col min="10758" max="10758" width="11.875" style="632" customWidth="1"/>
    <col min="10759" max="10759" width="14.625" style="632" customWidth="1"/>
    <col min="10760" max="10760" width="9.875" style="632" customWidth="1"/>
    <col min="10761" max="10761" width="8.625" style="632" customWidth="1"/>
    <col min="10762" max="10762" width="33.25" style="632" customWidth="1"/>
    <col min="10763" max="10763" width="12.625" style="632" customWidth="1"/>
    <col min="10764" max="10764" width="10.875" style="632" customWidth="1"/>
    <col min="10765" max="10766" width="9.875" style="632" customWidth="1"/>
    <col min="10767" max="10767" width="8.5" style="632" customWidth="1"/>
    <col min="10768" max="10768" width="8.25" style="632" customWidth="1"/>
    <col min="10769" max="10769" width="11.25" style="632" customWidth="1"/>
    <col min="10770" max="10770" width="10.125" style="632" customWidth="1"/>
    <col min="10771" max="10771" width="11" style="632" customWidth="1"/>
    <col min="10772" max="10772" width="9.25" style="632" customWidth="1"/>
    <col min="10773" max="10773" width="10.125" style="632" customWidth="1"/>
    <col min="10774" max="10774" width="11" style="632" customWidth="1"/>
    <col min="10775" max="10775" width="10.5" style="632" customWidth="1"/>
    <col min="10776" max="10776" width="14.125" style="632" customWidth="1"/>
    <col min="10777" max="10777" width="12.375" style="632" customWidth="1"/>
    <col min="10778" max="10778" width="11.125" style="632" customWidth="1"/>
    <col min="10779" max="10779" width="9.375" style="632" customWidth="1"/>
    <col min="10780" max="10780" width="11" style="632" customWidth="1"/>
    <col min="10781" max="10781" width="8.875" style="632" customWidth="1"/>
    <col min="10782" max="11008" width="9" style="632"/>
    <col min="11009" max="11009" width="5" style="632" customWidth="1"/>
    <col min="11010" max="11010" width="11.25" style="632" customWidth="1"/>
    <col min="11011" max="11011" width="11.875" style="632" customWidth="1"/>
    <col min="11012" max="11012" width="13.5" style="632" customWidth="1"/>
    <col min="11013" max="11013" width="24.125" style="632" customWidth="1"/>
    <col min="11014" max="11014" width="11.875" style="632" customWidth="1"/>
    <col min="11015" max="11015" width="14.625" style="632" customWidth="1"/>
    <col min="11016" max="11016" width="9.875" style="632" customWidth="1"/>
    <col min="11017" max="11017" width="8.625" style="632" customWidth="1"/>
    <col min="11018" max="11018" width="33.25" style="632" customWidth="1"/>
    <col min="11019" max="11019" width="12.625" style="632" customWidth="1"/>
    <col min="11020" max="11020" width="10.875" style="632" customWidth="1"/>
    <col min="11021" max="11022" width="9.875" style="632" customWidth="1"/>
    <col min="11023" max="11023" width="8.5" style="632" customWidth="1"/>
    <col min="11024" max="11024" width="8.25" style="632" customWidth="1"/>
    <col min="11025" max="11025" width="11.25" style="632" customWidth="1"/>
    <col min="11026" max="11026" width="10.125" style="632" customWidth="1"/>
    <col min="11027" max="11027" width="11" style="632" customWidth="1"/>
    <col min="11028" max="11028" width="9.25" style="632" customWidth="1"/>
    <col min="11029" max="11029" width="10.125" style="632" customWidth="1"/>
    <col min="11030" max="11030" width="11" style="632" customWidth="1"/>
    <col min="11031" max="11031" width="10.5" style="632" customWidth="1"/>
    <col min="11032" max="11032" width="14.125" style="632" customWidth="1"/>
    <col min="11033" max="11033" width="12.375" style="632" customWidth="1"/>
    <col min="11034" max="11034" width="11.125" style="632" customWidth="1"/>
    <col min="11035" max="11035" width="9.375" style="632" customWidth="1"/>
    <col min="11036" max="11036" width="11" style="632" customWidth="1"/>
    <col min="11037" max="11037" width="8.875" style="632" customWidth="1"/>
    <col min="11038" max="11264" width="9" style="632"/>
    <col min="11265" max="11265" width="5" style="632" customWidth="1"/>
    <col min="11266" max="11266" width="11.25" style="632" customWidth="1"/>
    <col min="11267" max="11267" width="11.875" style="632" customWidth="1"/>
    <col min="11268" max="11268" width="13.5" style="632" customWidth="1"/>
    <col min="11269" max="11269" width="24.125" style="632" customWidth="1"/>
    <col min="11270" max="11270" width="11.875" style="632" customWidth="1"/>
    <col min="11271" max="11271" width="14.625" style="632" customWidth="1"/>
    <col min="11272" max="11272" width="9.875" style="632" customWidth="1"/>
    <col min="11273" max="11273" width="8.625" style="632" customWidth="1"/>
    <col min="11274" max="11274" width="33.25" style="632" customWidth="1"/>
    <col min="11275" max="11275" width="12.625" style="632" customWidth="1"/>
    <col min="11276" max="11276" width="10.875" style="632" customWidth="1"/>
    <col min="11277" max="11278" width="9.875" style="632" customWidth="1"/>
    <col min="11279" max="11279" width="8.5" style="632" customWidth="1"/>
    <col min="11280" max="11280" width="8.25" style="632" customWidth="1"/>
    <col min="11281" max="11281" width="11.25" style="632" customWidth="1"/>
    <col min="11282" max="11282" width="10.125" style="632" customWidth="1"/>
    <col min="11283" max="11283" width="11" style="632" customWidth="1"/>
    <col min="11284" max="11284" width="9.25" style="632" customWidth="1"/>
    <col min="11285" max="11285" width="10.125" style="632" customWidth="1"/>
    <col min="11286" max="11286" width="11" style="632" customWidth="1"/>
    <col min="11287" max="11287" width="10.5" style="632" customWidth="1"/>
    <col min="11288" max="11288" width="14.125" style="632" customWidth="1"/>
    <col min="11289" max="11289" width="12.375" style="632" customWidth="1"/>
    <col min="11290" max="11290" width="11.125" style="632" customWidth="1"/>
    <col min="11291" max="11291" width="9.375" style="632" customWidth="1"/>
    <col min="11292" max="11292" width="11" style="632" customWidth="1"/>
    <col min="11293" max="11293" width="8.875" style="632" customWidth="1"/>
    <col min="11294" max="11520" width="9" style="632"/>
    <col min="11521" max="11521" width="5" style="632" customWidth="1"/>
    <col min="11522" max="11522" width="11.25" style="632" customWidth="1"/>
    <col min="11523" max="11523" width="11.875" style="632" customWidth="1"/>
    <col min="11524" max="11524" width="13.5" style="632" customWidth="1"/>
    <col min="11525" max="11525" width="24.125" style="632" customWidth="1"/>
    <col min="11526" max="11526" width="11.875" style="632" customWidth="1"/>
    <col min="11527" max="11527" width="14.625" style="632" customWidth="1"/>
    <col min="11528" max="11528" width="9.875" style="632" customWidth="1"/>
    <col min="11529" max="11529" width="8.625" style="632" customWidth="1"/>
    <col min="11530" max="11530" width="33.25" style="632" customWidth="1"/>
    <col min="11531" max="11531" width="12.625" style="632" customWidth="1"/>
    <col min="11532" max="11532" width="10.875" style="632" customWidth="1"/>
    <col min="11533" max="11534" width="9.875" style="632" customWidth="1"/>
    <col min="11535" max="11535" width="8.5" style="632" customWidth="1"/>
    <col min="11536" max="11536" width="8.25" style="632" customWidth="1"/>
    <col min="11537" max="11537" width="11.25" style="632" customWidth="1"/>
    <col min="11538" max="11538" width="10.125" style="632" customWidth="1"/>
    <col min="11539" max="11539" width="11" style="632" customWidth="1"/>
    <col min="11540" max="11540" width="9.25" style="632" customWidth="1"/>
    <col min="11541" max="11541" width="10.125" style="632" customWidth="1"/>
    <col min="11542" max="11542" width="11" style="632" customWidth="1"/>
    <col min="11543" max="11543" width="10.5" style="632" customWidth="1"/>
    <col min="11544" max="11544" width="14.125" style="632" customWidth="1"/>
    <col min="11545" max="11545" width="12.375" style="632" customWidth="1"/>
    <col min="11546" max="11546" width="11.125" style="632" customWidth="1"/>
    <col min="11547" max="11547" width="9.375" style="632" customWidth="1"/>
    <col min="11548" max="11548" width="11" style="632" customWidth="1"/>
    <col min="11549" max="11549" width="8.875" style="632" customWidth="1"/>
    <col min="11550" max="11776" width="9" style="632"/>
    <col min="11777" max="11777" width="5" style="632" customWidth="1"/>
    <col min="11778" max="11778" width="11.25" style="632" customWidth="1"/>
    <col min="11779" max="11779" width="11.875" style="632" customWidth="1"/>
    <col min="11780" max="11780" width="13.5" style="632" customWidth="1"/>
    <col min="11781" max="11781" width="24.125" style="632" customWidth="1"/>
    <col min="11782" max="11782" width="11.875" style="632" customWidth="1"/>
    <col min="11783" max="11783" width="14.625" style="632" customWidth="1"/>
    <col min="11784" max="11784" width="9.875" style="632" customWidth="1"/>
    <col min="11785" max="11785" width="8.625" style="632" customWidth="1"/>
    <col min="11786" max="11786" width="33.25" style="632" customWidth="1"/>
    <col min="11787" max="11787" width="12.625" style="632" customWidth="1"/>
    <col min="11788" max="11788" width="10.875" style="632" customWidth="1"/>
    <col min="11789" max="11790" width="9.875" style="632" customWidth="1"/>
    <col min="11791" max="11791" width="8.5" style="632" customWidth="1"/>
    <col min="11792" max="11792" width="8.25" style="632" customWidth="1"/>
    <col min="11793" max="11793" width="11.25" style="632" customWidth="1"/>
    <col min="11794" max="11794" width="10.125" style="632" customWidth="1"/>
    <col min="11795" max="11795" width="11" style="632" customWidth="1"/>
    <col min="11796" max="11796" width="9.25" style="632" customWidth="1"/>
    <col min="11797" max="11797" width="10.125" style="632" customWidth="1"/>
    <col min="11798" max="11798" width="11" style="632" customWidth="1"/>
    <col min="11799" max="11799" width="10.5" style="632" customWidth="1"/>
    <col min="11800" max="11800" width="14.125" style="632" customWidth="1"/>
    <col min="11801" max="11801" width="12.375" style="632" customWidth="1"/>
    <col min="11802" max="11802" width="11.125" style="632" customWidth="1"/>
    <col min="11803" max="11803" width="9.375" style="632" customWidth="1"/>
    <col min="11804" max="11804" width="11" style="632" customWidth="1"/>
    <col min="11805" max="11805" width="8.875" style="632" customWidth="1"/>
    <col min="11806" max="12032" width="9" style="632"/>
    <col min="12033" max="12033" width="5" style="632" customWidth="1"/>
    <col min="12034" max="12034" width="11.25" style="632" customWidth="1"/>
    <col min="12035" max="12035" width="11.875" style="632" customWidth="1"/>
    <col min="12036" max="12036" width="13.5" style="632" customWidth="1"/>
    <col min="12037" max="12037" width="24.125" style="632" customWidth="1"/>
    <col min="12038" max="12038" width="11.875" style="632" customWidth="1"/>
    <col min="12039" max="12039" width="14.625" style="632" customWidth="1"/>
    <col min="12040" max="12040" width="9.875" style="632" customWidth="1"/>
    <col min="12041" max="12041" width="8.625" style="632" customWidth="1"/>
    <col min="12042" max="12042" width="33.25" style="632" customWidth="1"/>
    <col min="12043" max="12043" width="12.625" style="632" customWidth="1"/>
    <col min="12044" max="12044" width="10.875" style="632" customWidth="1"/>
    <col min="12045" max="12046" width="9.875" style="632" customWidth="1"/>
    <col min="12047" max="12047" width="8.5" style="632" customWidth="1"/>
    <col min="12048" max="12048" width="8.25" style="632" customWidth="1"/>
    <col min="12049" max="12049" width="11.25" style="632" customWidth="1"/>
    <col min="12050" max="12050" width="10.125" style="632" customWidth="1"/>
    <col min="12051" max="12051" width="11" style="632" customWidth="1"/>
    <col min="12052" max="12052" width="9.25" style="632" customWidth="1"/>
    <col min="12053" max="12053" width="10.125" style="632" customWidth="1"/>
    <col min="12054" max="12054" width="11" style="632" customWidth="1"/>
    <col min="12055" max="12055" width="10.5" style="632" customWidth="1"/>
    <col min="12056" max="12056" width="14.125" style="632" customWidth="1"/>
    <col min="12057" max="12057" width="12.375" style="632" customWidth="1"/>
    <col min="12058" max="12058" width="11.125" style="632" customWidth="1"/>
    <col min="12059" max="12059" width="9.375" style="632" customWidth="1"/>
    <col min="12060" max="12060" width="11" style="632" customWidth="1"/>
    <col min="12061" max="12061" width="8.875" style="632" customWidth="1"/>
    <col min="12062" max="12288" width="9" style="632"/>
    <col min="12289" max="12289" width="5" style="632" customWidth="1"/>
    <col min="12290" max="12290" width="11.25" style="632" customWidth="1"/>
    <col min="12291" max="12291" width="11.875" style="632" customWidth="1"/>
    <col min="12292" max="12292" width="13.5" style="632" customWidth="1"/>
    <col min="12293" max="12293" width="24.125" style="632" customWidth="1"/>
    <col min="12294" max="12294" width="11.875" style="632" customWidth="1"/>
    <col min="12295" max="12295" width="14.625" style="632" customWidth="1"/>
    <col min="12296" max="12296" width="9.875" style="632" customWidth="1"/>
    <col min="12297" max="12297" width="8.625" style="632" customWidth="1"/>
    <col min="12298" max="12298" width="33.25" style="632" customWidth="1"/>
    <col min="12299" max="12299" width="12.625" style="632" customWidth="1"/>
    <col min="12300" max="12300" width="10.875" style="632" customWidth="1"/>
    <col min="12301" max="12302" width="9.875" style="632" customWidth="1"/>
    <col min="12303" max="12303" width="8.5" style="632" customWidth="1"/>
    <col min="12304" max="12304" width="8.25" style="632" customWidth="1"/>
    <col min="12305" max="12305" width="11.25" style="632" customWidth="1"/>
    <col min="12306" max="12306" width="10.125" style="632" customWidth="1"/>
    <col min="12307" max="12307" width="11" style="632" customWidth="1"/>
    <col min="12308" max="12308" width="9.25" style="632" customWidth="1"/>
    <col min="12309" max="12309" width="10.125" style="632" customWidth="1"/>
    <col min="12310" max="12310" width="11" style="632" customWidth="1"/>
    <col min="12311" max="12311" width="10.5" style="632" customWidth="1"/>
    <col min="12312" max="12312" width="14.125" style="632" customWidth="1"/>
    <col min="12313" max="12313" width="12.375" style="632" customWidth="1"/>
    <col min="12314" max="12314" width="11.125" style="632" customWidth="1"/>
    <col min="12315" max="12315" width="9.375" style="632" customWidth="1"/>
    <col min="12316" max="12316" width="11" style="632" customWidth="1"/>
    <col min="12317" max="12317" width="8.875" style="632" customWidth="1"/>
    <col min="12318" max="12544" width="9" style="632"/>
    <col min="12545" max="12545" width="5" style="632" customWidth="1"/>
    <col min="12546" max="12546" width="11.25" style="632" customWidth="1"/>
    <col min="12547" max="12547" width="11.875" style="632" customWidth="1"/>
    <col min="12548" max="12548" width="13.5" style="632" customWidth="1"/>
    <col min="12549" max="12549" width="24.125" style="632" customWidth="1"/>
    <col min="12550" max="12550" width="11.875" style="632" customWidth="1"/>
    <col min="12551" max="12551" width="14.625" style="632" customWidth="1"/>
    <col min="12552" max="12552" width="9.875" style="632" customWidth="1"/>
    <col min="12553" max="12553" width="8.625" style="632" customWidth="1"/>
    <col min="12554" max="12554" width="33.25" style="632" customWidth="1"/>
    <col min="12555" max="12555" width="12.625" style="632" customWidth="1"/>
    <col min="12556" max="12556" width="10.875" style="632" customWidth="1"/>
    <col min="12557" max="12558" width="9.875" style="632" customWidth="1"/>
    <col min="12559" max="12559" width="8.5" style="632" customWidth="1"/>
    <col min="12560" max="12560" width="8.25" style="632" customWidth="1"/>
    <col min="12561" max="12561" width="11.25" style="632" customWidth="1"/>
    <col min="12562" max="12562" width="10.125" style="632" customWidth="1"/>
    <col min="12563" max="12563" width="11" style="632" customWidth="1"/>
    <col min="12564" max="12564" width="9.25" style="632" customWidth="1"/>
    <col min="12565" max="12565" width="10.125" style="632" customWidth="1"/>
    <col min="12566" max="12566" width="11" style="632" customWidth="1"/>
    <col min="12567" max="12567" width="10.5" style="632" customWidth="1"/>
    <col min="12568" max="12568" width="14.125" style="632" customWidth="1"/>
    <col min="12569" max="12569" width="12.375" style="632" customWidth="1"/>
    <col min="12570" max="12570" width="11.125" style="632" customWidth="1"/>
    <col min="12571" max="12571" width="9.375" style="632" customWidth="1"/>
    <col min="12572" max="12572" width="11" style="632" customWidth="1"/>
    <col min="12573" max="12573" width="8.875" style="632" customWidth="1"/>
    <col min="12574" max="12800" width="9" style="632"/>
    <col min="12801" max="12801" width="5" style="632" customWidth="1"/>
    <col min="12802" max="12802" width="11.25" style="632" customWidth="1"/>
    <col min="12803" max="12803" width="11.875" style="632" customWidth="1"/>
    <col min="12804" max="12804" width="13.5" style="632" customWidth="1"/>
    <col min="12805" max="12805" width="24.125" style="632" customWidth="1"/>
    <col min="12806" max="12806" width="11.875" style="632" customWidth="1"/>
    <col min="12807" max="12807" width="14.625" style="632" customWidth="1"/>
    <col min="12808" max="12808" width="9.875" style="632" customWidth="1"/>
    <col min="12809" max="12809" width="8.625" style="632" customWidth="1"/>
    <col min="12810" max="12810" width="33.25" style="632" customWidth="1"/>
    <col min="12811" max="12811" width="12.625" style="632" customWidth="1"/>
    <col min="12812" max="12812" width="10.875" style="632" customWidth="1"/>
    <col min="12813" max="12814" width="9.875" style="632" customWidth="1"/>
    <col min="12815" max="12815" width="8.5" style="632" customWidth="1"/>
    <col min="12816" max="12816" width="8.25" style="632" customWidth="1"/>
    <col min="12817" max="12817" width="11.25" style="632" customWidth="1"/>
    <col min="12818" max="12818" width="10.125" style="632" customWidth="1"/>
    <col min="12819" max="12819" width="11" style="632" customWidth="1"/>
    <col min="12820" max="12820" width="9.25" style="632" customWidth="1"/>
    <col min="12821" max="12821" width="10.125" style="632" customWidth="1"/>
    <col min="12822" max="12822" width="11" style="632" customWidth="1"/>
    <col min="12823" max="12823" width="10.5" style="632" customWidth="1"/>
    <col min="12824" max="12824" width="14.125" style="632" customWidth="1"/>
    <col min="12825" max="12825" width="12.375" style="632" customWidth="1"/>
    <col min="12826" max="12826" width="11.125" style="632" customWidth="1"/>
    <col min="12827" max="12827" width="9.375" style="632" customWidth="1"/>
    <col min="12828" max="12828" width="11" style="632" customWidth="1"/>
    <col min="12829" max="12829" width="8.875" style="632" customWidth="1"/>
    <col min="12830" max="13056" width="9" style="632"/>
    <col min="13057" max="13057" width="5" style="632" customWidth="1"/>
    <col min="13058" max="13058" width="11.25" style="632" customWidth="1"/>
    <col min="13059" max="13059" width="11.875" style="632" customWidth="1"/>
    <col min="13060" max="13060" width="13.5" style="632" customWidth="1"/>
    <col min="13061" max="13061" width="24.125" style="632" customWidth="1"/>
    <col min="13062" max="13062" width="11.875" style="632" customWidth="1"/>
    <col min="13063" max="13063" width="14.625" style="632" customWidth="1"/>
    <col min="13064" max="13064" width="9.875" style="632" customWidth="1"/>
    <col min="13065" max="13065" width="8.625" style="632" customWidth="1"/>
    <col min="13066" max="13066" width="33.25" style="632" customWidth="1"/>
    <col min="13067" max="13067" width="12.625" style="632" customWidth="1"/>
    <col min="13068" max="13068" width="10.875" style="632" customWidth="1"/>
    <col min="13069" max="13070" width="9.875" style="632" customWidth="1"/>
    <col min="13071" max="13071" width="8.5" style="632" customWidth="1"/>
    <col min="13072" max="13072" width="8.25" style="632" customWidth="1"/>
    <col min="13073" max="13073" width="11.25" style="632" customWidth="1"/>
    <col min="13074" max="13074" width="10.125" style="632" customWidth="1"/>
    <col min="13075" max="13075" width="11" style="632" customWidth="1"/>
    <col min="13076" max="13076" width="9.25" style="632" customWidth="1"/>
    <col min="13077" max="13077" width="10.125" style="632" customWidth="1"/>
    <col min="13078" max="13078" width="11" style="632" customWidth="1"/>
    <col min="13079" max="13079" width="10.5" style="632" customWidth="1"/>
    <col min="13080" max="13080" width="14.125" style="632" customWidth="1"/>
    <col min="13081" max="13081" width="12.375" style="632" customWidth="1"/>
    <col min="13082" max="13082" width="11.125" style="632" customWidth="1"/>
    <col min="13083" max="13083" width="9.375" style="632" customWidth="1"/>
    <col min="13084" max="13084" width="11" style="632" customWidth="1"/>
    <col min="13085" max="13085" width="8.875" style="632" customWidth="1"/>
    <col min="13086" max="13312" width="9" style="632"/>
    <col min="13313" max="13313" width="5" style="632" customWidth="1"/>
    <col min="13314" max="13314" width="11.25" style="632" customWidth="1"/>
    <col min="13315" max="13315" width="11.875" style="632" customWidth="1"/>
    <col min="13316" max="13316" width="13.5" style="632" customWidth="1"/>
    <col min="13317" max="13317" width="24.125" style="632" customWidth="1"/>
    <col min="13318" max="13318" width="11.875" style="632" customWidth="1"/>
    <col min="13319" max="13319" width="14.625" style="632" customWidth="1"/>
    <col min="13320" max="13320" width="9.875" style="632" customWidth="1"/>
    <col min="13321" max="13321" width="8.625" style="632" customWidth="1"/>
    <col min="13322" max="13322" width="33.25" style="632" customWidth="1"/>
    <col min="13323" max="13323" width="12.625" style="632" customWidth="1"/>
    <col min="13324" max="13324" width="10.875" style="632" customWidth="1"/>
    <col min="13325" max="13326" width="9.875" style="632" customWidth="1"/>
    <col min="13327" max="13327" width="8.5" style="632" customWidth="1"/>
    <col min="13328" max="13328" width="8.25" style="632" customWidth="1"/>
    <col min="13329" max="13329" width="11.25" style="632" customWidth="1"/>
    <col min="13330" max="13330" width="10.125" style="632" customWidth="1"/>
    <col min="13331" max="13331" width="11" style="632" customWidth="1"/>
    <col min="13332" max="13332" width="9.25" style="632" customWidth="1"/>
    <col min="13333" max="13333" width="10.125" style="632" customWidth="1"/>
    <col min="13334" max="13334" width="11" style="632" customWidth="1"/>
    <col min="13335" max="13335" width="10.5" style="632" customWidth="1"/>
    <col min="13336" max="13336" width="14.125" style="632" customWidth="1"/>
    <col min="13337" max="13337" width="12.375" style="632" customWidth="1"/>
    <col min="13338" max="13338" width="11.125" style="632" customWidth="1"/>
    <col min="13339" max="13339" width="9.375" style="632" customWidth="1"/>
    <col min="13340" max="13340" width="11" style="632" customWidth="1"/>
    <col min="13341" max="13341" width="8.875" style="632" customWidth="1"/>
    <col min="13342" max="13568" width="9" style="632"/>
    <col min="13569" max="13569" width="5" style="632" customWidth="1"/>
    <col min="13570" max="13570" width="11.25" style="632" customWidth="1"/>
    <col min="13571" max="13571" width="11.875" style="632" customWidth="1"/>
    <col min="13572" max="13572" width="13.5" style="632" customWidth="1"/>
    <col min="13573" max="13573" width="24.125" style="632" customWidth="1"/>
    <col min="13574" max="13574" width="11.875" style="632" customWidth="1"/>
    <col min="13575" max="13575" width="14.625" style="632" customWidth="1"/>
    <col min="13576" max="13576" width="9.875" style="632" customWidth="1"/>
    <col min="13577" max="13577" width="8.625" style="632" customWidth="1"/>
    <col min="13578" max="13578" width="33.25" style="632" customWidth="1"/>
    <col min="13579" max="13579" width="12.625" style="632" customWidth="1"/>
    <col min="13580" max="13580" width="10.875" style="632" customWidth="1"/>
    <col min="13581" max="13582" width="9.875" style="632" customWidth="1"/>
    <col min="13583" max="13583" width="8.5" style="632" customWidth="1"/>
    <col min="13584" max="13584" width="8.25" style="632" customWidth="1"/>
    <col min="13585" max="13585" width="11.25" style="632" customWidth="1"/>
    <col min="13586" max="13586" width="10.125" style="632" customWidth="1"/>
    <col min="13587" max="13587" width="11" style="632" customWidth="1"/>
    <col min="13588" max="13588" width="9.25" style="632" customWidth="1"/>
    <col min="13589" max="13589" width="10.125" style="632" customWidth="1"/>
    <col min="13590" max="13590" width="11" style="632" customWidth="1"/>
    <col min="13591" max="13591" width="10.5" style="632" customWidth="1"/>
    <col min="13592" max="13592" width="14.125" style="632" customWidth="1"/>
    <col min="13593" max="13593" width="12.375" style="632" customWidth="1"/>
    <col min="13594" max="13594" width="11.125" style="632" customWidth="1"/>
    <col min="13595" max="13595" width="9.375" style="632" customWidth="1"/>
    <col min="13596" max="13596" width="11" style="632" customWidth="1"/>
    <col min="13597" max="13597" width="8.875" style="632" customWidth="1"/>
    <col min="13598" max="13824" width="9" style="632"/>
    <col min="13825" max="13825" width="5" style="632" customWidth="1"/>
    <col min="13826" max="13826" width="11.25" style="632" customWidth="1"/>
    <col min="13827" max="13827" width="11.875" style="632" customWidth="1"/>
    <col min="13828" max="13828" width="13.5" style="632" customWidth="1"/>
    <col min="13829" max="13829" width="24.125" style="632" customWidth="1"/>
    <col min="13830" max="13830" width="11.875" style="632" customWidth="1"/>
    <col min="13831" max="13831" width="14.625" style="632" customWidth="1"/>
    <col min="13832" max="13832" width="9.875" style="632" customWidth="1"/>
    <col min="13833" max="13833" width="8.625" style="632" customWidth="1"/>
    <col min="13834" max="13834" width="33.25" style="632" customWidth="1"/>
    <col min="13835" max="13835" width="12.625" style="632" customWidth="1"/>
    <col min="13836" max="13836" width="10.875" style="632" customWidth="1"/>
    <col min="13837" max="13838" width="9.875" style="632" customWidth="1"/>
    <col min="13839" max="13839" width="8.5" style="632" customWidth="1"/>
    <col min="13840" max="13840" width="8.25" style="632" customWidth="1"/>
    <col min="13841" max="13841" width="11.25" style="632" customWidth="1"/>
    <col min="13842" max="13842" width="10.125" style="632" customWidth="1"/>
    <col min="13843" max="13843" width="11" style="632" customWidth="1"/>
    <col min="13844" max="13844" width="9.25" style="632" customWidth="1"/>
    <col min="13845" max="13845" width="10.125" style="632" customWidth="1"/>
    <col min="13846" max="13846" width="11" style="632" customWidth="1"/>
    <col min="13847" max="13847" width="10.5" style="632" customWidth="1"/>
    <col min="13848" max="13848" width="14.125" style="632" customWidth="1"/>
    <col min="13849" max="13849" width="12.375" style="632" customWidth="1"/>
    <col min="13850" max="13850" width="11.125" style="632" customWidth="1"/>
    <col min="13851" max="13851" width="9.375" style="632" customWidth="1"/>
    <col min="13852" max="13852" width="11" style="632" customWidth="1"/>
    <col min="13853" max="13853" width="8.875" style="632" customWidth="1"/>
    <col min="13854" max="14080" width="9" style="632"/>
    <col min="14081" max="14081" width="5" style="632" customWidth="1"/>
    <col min="14082" max="14082" width="11.25" style="632" customWidth="1"/>
    <col min="14083" max="14083" width="11.875" style="632" customWidth="1"/>
    <col min="14084" max="14084" width="13.5" style="632" customWidth="1"/>
    <col min="14085" max="14085" width="24.125" style="632" customWidth="1"/>
    <col min="14086" max="14086" width="11.875" style="632" customWidth="1"/>
    <col min="14087" max="14087" width="14.625" style="632" customWidth="1"/>
    <col min="14088" max="14088" width="9.875" style="632" customWidth="1"/>
    <col min="14089" max="14089" width="8.625" style="632" customWidth="1"/>
    <col min="14090" max="14090" width="33.25" style="632" customWidth="1"/>
    <col min="14091" max="14091" width="12.625" style="632" customWidth="1"/>
    <col min="14092" max="14092" width="10.875" style="632" customWidth="1"/>
    <col min="14093" max="14094" width="9.875" style="632" customWidth="1"/>
    <col min="14095" max="14095" width="8.5" style="632" customWidth="1"/>
    <col min="14096" max="14096" width="8.25" style="632" customWidth="1"/>
    <col min="14097" max="14097" width="11.25" style="632" customWidth="1"/>
    <col min="14098" max="14098" width="10.125" style="632" customWidth="1"/>
    <col min="14099" max="14099" width="11" style="632" customWidth="1"/>
    <col min="14100" max="14100" width="9.25" style="632" customWidth="1"/>
    <col min="14101" max="14101" width="10.125" style="632" customWidth="1"/>
    <col min="14102" max="14102" width="11" style="632" customWidth="1"/>
    <col min="14103" max="14103" width="10.5" style="632" customWidth="1"/>
    <col min="14104" max="14104" width="14.125" style="632" customWidth="1"/>
    <col min="14105" max="14105" width="12.375" style="632" customWidth="1"/>
    <col min="14106" max="14106" width="11.125" style="632" customWidth="1"/>
    <col min="14107" max="14107" width="9.375" style="632" customWidth="1"/>
    <col min="14108" max="14108" width="11" style="632" customWidth="1"/>
    <col min="14109" max="14109" width="8.875" style="632" customWidth="1"/>
    <col min="14110" max="14336" width="9" style="632"/>
    <col min="14337" max="14337" width="5" style="632" customWidth="1"/>
    <col min="14338" max="14338" width="11.25" style="632" customWidth="1"/>
    <col min="14339" max="14339" width="11.875" style="632" customWidth="1"/>
    <col min="14340" max="14340" width="13.5" style="632" customWidth="1"/>
    <col min="14341" max="14341" width="24.125" style="632" customWidth="1"/>
    <col min="14342" max="14342" width="11.875" style="632" customWidth="1"/>
    <col min="14343" max="14343" width="14.625" style="632" customWidth="1"/>
    <col min="14344" max="14344" width="9.875" style="632" customWidth="1"/>
    <col min="14345" max="14345" width="8.625" style="632" customWidth="1"/>
    <col min="14346" max="14346" width="33.25" style="632" customWidth="1"/>
    <col min="14347" max="14347" width="12.625" style="632" customWidth="1"/>
    <col min="14348" max="14348" width="10.875" style="632" customWidth="1"/>
    <col min="14349" max="14350" width="9.875" style="632" customWidth="1"/>
    <col min="14351" max="14351" width="8.5" style="632" customWidth="1"/>
    <col min="14352" max="14352" width="8.25" style="632" customWidth="1"/>
    <col min="14353" max="14353" width="11.25" style="632" customWidth="1"/>
    <col min="14354" max="14354" width="10.125" style="632" customWidth="1"/>
    <col min="14355" max="14355" width="11" style="632" customWidth="1"/>
    <col min="14356" max="14356" width="9.25" style="632" customWidth="1"/>
    <col min="14357" max="14357" width="10.125" style="632" customWidth="1"/>
    <col min="14358" max="14358" width="11" style="632" customWidth="1"/>
    <col min="14359" max="14359" width="10.5" style="632" customWidth="1"/>
    <col min="14360" max="14360" width="14.125" style="632" customWidth="1"/>
    <col min="14361" max="14361" width="12.375" style="632" customWidth="1"/>
    <col min="14362" max="14362" width="11.125" style="632" customWidth="1"/>
    <col min="14363" max="14363" width="9.375" style="632" customWidth="1"/>
    <col min="14364" max="14364" width="11" style="632" customWidth="1"/>
    <col min="14365" max="14365" width="8.875" style="632" customWidth="1"/>
    <col min="14366" max="14592" width="9" style="632"/>
    <col min="14593" max="14593" width="5" style="632" customWidth="1"/>
    <col min="14594" max="14594" width="11.25" style="632" customWidth="1"/>
    <col min="14595" max="14595" width="11.875" style="632" customWidth="1"/>
    <col min="14596" max="14596" width="13.5" style="632" customWidth="1"/>
    <col min="14597" max="14597" width="24.125" style="632" customWidth="1"/>
    <col min="14598" max="14598" width="11.875" style="632" customWidth="1"/>
    <col min="14599" max="14599" width="14.625" style="632" customWidth="1"/>
    <col min="14600" max="14600" width="9.875" style="632" customWidth="1"/>
    <col min="14601" max="14601" width="8.625" style="632" customWidth="1"/>
    <col min="14602" max="14602" width="33.25" style="632" customWidth="1"/>
    <col min="14603" max="14603" width="12.625" style="632" customWidth="1"/>
    <col min="14604" max="14604" width="10.875" style="632" customWidth="1"/>
    <col min="14605" max="14606" width="9.875" style="632" customWidth="1"/>
    <col min="14607" max="14607" width="8.5" style="632" customWidth="1"/>
    <col min="14608" max="14608" width="8.25" style="632" customWidth="1"/>
    <col min="14609" max="14609" width="11.25" style="632" customWidth="1"/>
    <col min="14610" max="14610" width="10.125" style="632" customWidth="1"/>
    <col min="14611" max="14611" width="11" style="632" customWidth="1"/>
    <col min="14612" max="14612" width="9.25" style="632" customWidth="1"/>
    <col min="14613" max="14613" width="10.125" style="632" customWidth="1"/>
    <col min="14614" max="14614" width="11" style="632" customWidth="1"/>
    <col min="14615" max="14615" width="10.5" style="632" customWidth="1"/>
    <col min="14616" max="14616" width="14.125" style="632" customWidth="1"/>
    <col min="14617" max="14617" width="12.375" style="632" customWidth="1"/>
    <col min="14618" max="14618" width="11.125" style="632" customWidth="1"/>
    <col min="14619" max="14619" width="9.375" style="632" customWidth="1"/>
    <col min="14620" max="14620" width="11" style="632" customWidth="1"/>
    <col min="14621" max="14621" width="8.875" style="632" customWidth="1"/>
    <col min="14622" max="14848" width="9" style="632"/>
    <col min="14849" max="14849" width="5" style="632" customWidth="1"/>
    <col min="14850" max="14850" width="11.25" style="632" customWidth="1"/>
    <col min="14851" max="14851" width="11.875" style="632" customWidth="1"/>
    <col min="14852" max="14852" width="13.5" style="632" customWidth="1"/>
    <col min="14853" max="14853" width="24.125" style="632" customWidth="1"/>
    <col min="14854" max="14854" width="11.875" style="632" customWidth="1"/>
    <col min="14855" max="14855" width="14.625" style="632" customWidth="1"/>
    <col min="14856" max="14856" width="9.875" style="632" customWidth="1"/>
    <col min="14857" max="14857" width="8.625" style="632" customWidth="1"/>
    <col min="14858" max="14858" width="33.25" style="632" customWidth="1"/>
    <col min="14859" max="14859" width="12.625" style="632" customWidth="1"/>
    <col min="14860" max="14860" width="10.875" style="632" customWidth="1"/>
    <col min="14861" max="14862" width="9.875" style="632" customWidth="1"/>
    <col min="14863" max="14863" width="8.5" style="632" customWidth="1"/>
    <col min="14864" max="14864" width="8.25" style="632" customWidth="1"/>
    <col min="14865" max="14865" width="11.25" style="632" customWidth="1"/>
    <col min="14866" max="14866" width="10.125" style="632" customWidth="1"/>
    <col min="14867" max="14867" width="11" style="632" customWidth="1"/>
    <col min="14868" max="14868" width="9.25" style="632" customWidth="1"/>
    <col min="14869" max="14869" width="10.125" style="632" customWidth="1"/>
    <col min="14870" max="14870" width="11" style="632" customWidth="1"/>
    <col min="14871" max="14871" width="10.5" style="632" customWidth="1"/>
    <col min="14872" max="14872" width="14.125" style="632" customWidth="1"/>
    <col min="14873" max="14873" width="12.375" style="632" customWidth="1"/>
    <col min="14874" max="14874" width="11.125" style="632" customWidth="1"/>
    <col min="14875" max="14875" width="9.375" style="632" customWidth="1"/>
    <col min="14876" max="14876" width="11" style="632" customWidth="1"/>
    <col min="14877" max="14877" width="8.875" style="632" customWidth="1"/>
    <col min="14878" max="15104" width="9" style="632"/>
    <col min="15105" max="15105" width="5" style="632" customWidth="1"/>
    <col min="15106" max="15106" width="11.25" style="632" customWidth="1"/>
    <col min="15107" max="15107" width="11.875" style="632" customWidth="1"/>
    <col min="15108" max="15108" width="13.5" style="632" customWidth="1"/>
    <col min="15109" max="15109" width="24.125" style="632" customWidth="1"/>
    <col min="15110" max="15110" width="11.875" style="632" customWidth="1"/>
    <col min="15111" max="15111" width="14.625" style="632" customWidth="1"/>
    <col min="15112" max="15112" width="9.875" style="632" customWidth="1"/>
    <col min="15113" max="15113" width="8.625" style="632" customWidth="1"/>
    <col min="15114" max="15114" width="33.25" style="632" customWidth="1"/>
    <col min="15115" max="15115" width="12.625" style="632" customWidth="1"/>
    <col min="15116" max="15116" width="10.875" style="632" customWidth="1"/>
    <col min="15117" max="15118" width="9.875" style="632" customWidth="1"/>
    <col min="15119" max="15119" width="8.5" style="632" customWidth="1"/>
    <col min="15120" max="15120" width="8.25" style="632" customWidth="1"/>
    <col min="15121" max="15121" width="11.25" style="632" customWidth="1"/>
    <col min="15122" max="15122" width="10.125" style="632" customWidth="1"/>
    <col min="15123" max="15123" width="11" style="632" customWidth="1"/>
    <col min="15124" max="15124" width="9.25" style="632" customWidth="1"/>
    <col min="15125" max="15125" width="10.125" style="632" customWidth="1"/>
    <col min="15126" max="15126" width="11" style="632" customWidth="1"/>
    <col min="15127" max="15127" width="10.5" style="632" customWidth="1"/>
    <col min="15128" max="15128" width="14.125" style="632" customWidth="1"/>
    <col min="15129" max="15129" width="12.375" style="632" customWidth="1"/>
    <col min="15130" max="15130" width="11.125" style="632" customWidth="1"/>
    <col min="15131" max="15131" width="9.375" style="632" customWidth="1"/>
    <col min="15132" max="15132" width="11" style="632" customWidth="1"/>
    <col min="15133" max="15133" width="8.875" style="632" customWidth="1"/>
    <col min="15134" max="15360" width="9" style="632"/>
    <col min="15361" max="15361" width="5" style="632" customWidth="1"/>
    <col min="15362" max="15362" width="11.25" style="632" customWidth="1"/>
    <col min="15363" max="15363" width="11.875" style="632" customWidth="1"/>
    <col min="15364" max="15364" width="13.5" style="632" customWidth="1"/>
    <col min="15365" max="15365" width="24.125" style="632" customWidth="1"/>
    <col min="15366" max="15366" width="11.875" style="632" customWidth="1"/>
    <col min="15367" max="15367" width="14.625" style="632" customWidth="1"/>
    <col min="15368" max="15368" width="9.875" style="632" customWidth="1"/>
    <col min="15369" max="15369" width="8.625" style="632" customWidth="1"/>
    <col min="15370" max="15370" width="33.25" style="632" customWidth="1"/>
    <col min="15371" max="15371" width="12.625" style="632" customWidth="1"/>
    <col min="15372" max="15372" width="10.875" style="632" customWidth="1"/>
    <col min="15373" max="15374" width="9.875" style="632" customWidth="1"/>
    <col min="15375" max="15375" width="8.5" style="632" customWidth="1"/>
    <col min="15376" max="15376" width="8.25" style="632" customWidth="1"/>
    <col min="15377" max="15377" width="11.25" style="632" customWidth="1"/>
    <col min="15378" max="15378" width="10.125" style="632" customWidth="1"/>
    <col min="15379" max="15379" width="11" style="632" customWidth="1"/>
    <col min="15380" max="15380" width="9.25" style="632" customWidth="1"/>
    <col min="15381" max="15381" width="10.125" style="632" customWidth="1"/>
    <col min="15382" max="15382" width="11" style="632" customWidth="1"/>
    <col min="15383" max="15383" width="10.5" style="632" customWidth="1"/>
    <col min="15384" max="15384" width="14.125" style="632" customWidth="1"/>
    <col min="15385" max="15385" width="12.375" style="632" customWidth="1"/>
    <col min="15386" max="15386" width="11.125" style="632" customWidth="1"/>
    <col min="15387" max="15387" width="9.375" style="632" customWidth="1"/>
    <col min="15388" max="15388" width="11" style="632" customWidth="1"/>
    <col min="15389" max="15389" width="8.875" style="632" customWidth="1"/>
    <col min="15390" max="15616" width="9" style="632"/>
    <col min="15617" max="15617" width="5" style="632" customWidth="1"/>
    <col min="15618" max="15618" width="11.25" style="632" customWidth="1"/>
    <col min="15619" max="15619" width="11.875" style="632" customWidth="1"/>
    <col min="15620" max="15620" width="13.5" style="632" customWidth="1"/>
    <col min="15621" max="15621" width="24.125" style="632" customWidth="1"/>
    <col min="15622" max="15622" width="11.875" style="632" customWidth="1"/>
    <col min="15623" max="15623" width="14.625" style="632" customWidth="1"/>
    <col min="15624" max="15624" width="9.875" style="632" customWidth="1"/>
    <col min="15625" max="15625" width="8.625" style="632" customWidth="1"/>
    <col min="15626" max="15626" width="33.25" style="632" customWidth="1"/>
    <col min="15627" max="15627" width="12.625" style="632" customWidth="1"/>
    <col min="15628" max="15628" width="10.875" style="632" customWidth="1"/>
    <col min="15629" max="15630" width="9.875" style="632" customWidth="1"/>
    <col min="15631" max="15631" width="8.5" style="632" customWidth="1"/>
    <col min="15632" max="15632" width="8.25" style="632" customWidth="1"/>
    <col min="15633" max="15633" width="11.25" style="632" customWidth="1"/>
    <col min="15634" max="15634" width="10.125" style="632" customWidth="1"/>
    <col min="15635" max="15635" width="11" style="632" customWidth="1"/>
    <col min="15636" max="15636" width="9.25" style="632" customWidth="1"/>
    <col min="15637" max="15637" width="10.125" style="632" customWidth="1"/>
    <col min="15638" max="15638" width="11" style="632" customWidth="1"/>
    <col min="15639" max="15639" width="10.5" style="632" customWidth="1"/>
    <col min="15640" max="15640" width="14.125" style="632" customWidth="1"/>
    <col min="15641" max="15641" width="12.375" style="632" customWidth="1"/>
    <col min="15642" max="15642" width="11.125" style="632" customWidth="1"/>
    <col min="15643" max="15643" width="9.375" style="632" customWidth="1"/>
    <col min="15644" max="15644" width="11" style="632" customWidth="1"/>
    <col min="15645" max="15645" width="8.875" style="632" customWidth="1"/>
    <col min="15646" max="15872" width="9" style="632"/>
    <col min="15873" max="15873" width="5" style="632" customWidth="1"/>
    <col min="15874" max="15874" width="11.25" style="632" customWidth="1"/>
    <col min="15875" max="15875" width="11.875" style="632" customWidth="1"/>
    <col min="15876" max="15876" width="13.5" style="632" customWidth="1"/>
    <col min="15877" max="15877" width="24.125" style="632" customWidth="1"/>
    <col min="15878" max="15878" width="11.875" style="632" customWidth="1"/>
    <col min="15879" max="15879" width="14.625" style="632" customWidth="1"/>
    <col min="15880" max="15880" width="9.875" style="632" customWidth="1"/>
    <col min="15881" max="15881" width="8.625" style="632" customWidth="1"/>
    <col min="15882" max="15882" width="33.25" style="632" customWidth="1"/>
    <col min="15883" max="15883" width="12.625" style="632" customWidth="1"/>
    <col min="15884" max="15884" width="10.875" style="632" customWidth="1"/>
    <col min="15885" max="15886" width="9.875" style="632" customWidth="1"/>
    <col min="15887" max="15887" width="8.5" style="632" customWidth="1"/>
    <col min="15888" max="15888" width="8.25" style="632" customWidth="1"/>
    <col min="15889" max="15889" width="11.25" style="632" customWidth="1"/>
    <col min="15890" max="15890" width="10.125" style="632" customWidth="1"/>
    <col min="15891" max="15891" width="11" style="632" customWidth="1"/>
    <col min="15892" max="15892" width="9.25" style="632" customWidth="1"/>
    <col min="15893" max="15893" width="10.125" style="632" customWidth="1"/>
    <col min="15894" max="15894" width="11" style="632" customWidth="1"/>
    <col min="15895" max="15895" width="10.5" style="632" customWidth="1"/>
    <col min="15896" max="15896" width="14.125" style="632" customWidth="1"/>
    <col min="15897" max="15897" width="12.375" style="632" customWidth="1"/>
    <col min="15898" max="15898" width="11.125" style="632" customWidth="1"/>
    <col min="15899" max="15899" width="9.375" style="632" customWidth="1"/>
    <col min="15900" max="15900" width="11" style="632" customWidth="1"/>
    <col min="15901" max="15901" width="8.875" style="632" customWidth="1"/>
    <col min="15902" max="16128" width="9" style="632"/>
    <col min="16129" max="16129" width="5" style="632" customWidth="1"/>
    <col min="16130" max="16130" width="11.25" style="632" customWidth="1"/>
    <col min="16131" max="16131" width="11.875" style="632" customWidth="1"/>
    <col min="16132" max="16132" width="13.5" style="632" customWidth="1"/>
    <col min="16133" max="16133" width="24.125" style="632" customWidth="1"/>
    <col min="16134" max="16134" width="11.875" style="632" customWidth="1"/>
    <col min="16135" max="16135" width="14.625" style="632" customWidth="1"/>
    <col min="16136" max="16136" width="9.875" style="632" customWidth="1"/>
    <col min="16137" max="16137" width="8.625" style="632" customWidth="1"/>
    <col min="16138" max="16138" width="33.25" style="632" customWidth="1"/>
    <col min="16139" max="16139" width="12.625" style="632" customWidth="1"/>
    <col min="16140" max="16140" width="10.875" style="632" customWidth="1"/>
    <col min="16141" max="16142" width="9.875" style="632" customWidth="1"/>
    <col min="16143" max="16143" width="8.5" style="632" customWidth="1"/>
    <col min="16144" max="16144" width="8.25" style="632" customWidth="1"/>
    <col min="16145" max="16145" width="11.25" style="632" customWidth="1"/>
    <col min="16146" max="16146" width="10.125" style="632" customWidth="1"/>
    <col min="16147" max="16147" width="11" style="632" customWidth="1"/>
    <col min="16148" max="16148" width="9.25" style="632" customWidth="1"/>
    <col min="16149" max="16149" width="10.125" style="632" customWidth="1"/>
    <col min="16150" max="16150" width="11" style="632" customWidth="1"/>
    <col min="16151" max="16151" width="10.5" style="632" customWidth="1"/>
    <col min="16152" max="16152" width="14.125" style="632" customWidth="1"/>
    <col min="16153" max="16153" width="12.375" style="632" customWidth="1"/>
    <col min="16154" max="16154" width="11.125" style="632" customWidth="1"/>
    <col min="16155" max="16155" width="9.375" style="632" customWidth="1"/>
    <col min="16156" max="16156" width="11" style="632" customWidth="1"/>
    <col min="16157" max="16157" width="8.875" style="632" customWidth="1"/>
    <col min="16158" max="16384" width="9" style="632"/>
  </cols>
  <sheetData>
    <row r="1" spans="1:29" ht="30" customHeight="1" x14ac:dyDescent="0.25">
      <c r="A1" s="631"/>
      <c r="H1" s="633"/>
      <c r="I1" s="633"/>
      <c r="W1" s="805" t="s">
        <v>613</v>
      </c>
      <c r="X1" s="806"/>
      <c r="Y1" s="806"/>
      <c r="Z1" s="631" t="s">
        <v>268</v>
      </c>
      <c r="AA1" s="631"/>
      <c r="AB1" s="631"/>
      <c r="AC1" s="633"/>
    </row>
    <row r="2" spans="1:29" ht="45" customHeight="1" x14ac:dyDescent="0.25">
      <c r="A2" s="808" t="s">
        <v>542</v>
      </c>
      <c r="B2" s="808"/>
      <c r="C2" s="808"/>
      <c r="D2" s="808"/>
      <c r="E2" s="808"/>
      <c r="F2" s="808"/>
      <c r="G2" s="808"/>
      <c r="H2" s="808"/>
      <c r="I2" s="808"/>
      <c r="J2" s="808"/>
      <c r="K2" s="808"/>
      <c r="L2" s="808"/>
      <c r="M2" s="808"/>
      <c r="N2" s="808"/>
      <c r="O2" s="808"/>
      <c r="P2" s="808"/>
      <c r="Q2" s="808"/>
      <c r="R2" s="808"/>
      <c r="S2" s="808"/>
      <c r="T2" s="808"/>
      <c r="U2" s="808"/>
      <c r="V2" s="808"/>
      <c r="W2" s="808"/>
      <c r="X2" s="808"/>
      <c r="Y2" s="808"/>
      <c r="Z2" s="808"/>
      <c r="AA2" s="808"/>
      <c r="AB2" s="808"/>
      <c r="AC2" s="635"/>
    </row>
    <row r="3" spans="1:29" ht="23.25" customHeight="1" x14ac:dyDescent="0.25">
      <c r="A3" s="809" t="str">
        <f>'B5-TDA2,DA3'!A4:V4</f>
        <v>(Kèm theo Báo cáo số:          /BC-UBND ngày          tháng 11 năm 2023 của UBND tỉnh)</v>
      </c>
      <c r="B3" s="810"/>
      <c r="C3" s="810"/>
      <c r="D3" s="810"/>
      <c r="E3" s="810"/>
      <c r="F3" s="810"/>
      <c r="G3" s="810"/>
      <c r="H3" s="810"/>
      <c r="I3" s="810"/>
      <c r="J3" s="810"/>
      <c r="K3" s="810"/>
      <c r="L3" s="810"/>
      <c r="M3" s="810"/>
      <c r="N3" s="810"/>
      <c r="O3" s="810"/>
      <c r="P3" s="810"/>
      <c r="Q3" s="810"/>
      <c r="R3" s="810"/>
      <c r="S3" s="810"/>
      <c r="T3" s="810"/>
      <c r="U3" s="810"/>
      <c r="V3" s="810"/>
      <c r="W3" s="810"/>
      <c r="X3" s="810"/>
      <c r="Y3" s="810"/>
      <c r="Z3" s="810"/>
      <c r="AA3" s="810"/>
      <c r="AB3" s="810"/>
      <c r="AC3" s="810"/>
    </row>
    <row r="4" spans="1:29" ht="25.5" customHeight="1" x14ac:dyDescent="0.25">
      <c r="O4" s="636"/>
      <c r="W4" s="807" t="s">
        <v>269</v>
      </c>
      <c r="X4" s="807"/>
      <c r="Y4" s="807"/>
      <c r="Z4" s="637" t="s">
        <v>269</v>
      </c>
      <c r="AA4" s="637"/>
      <c r="AB4" s="637"/>
      <c r="AC4" s="638"/>
    </row>
    <row r="5" spans="1:29" ht="43.5" customHeight="1" x14ac:dyDescent="0.25">
      <c r="A5" s="811" t="s">
        <v>1</v>
      </c>
      <c r="B5" s="811" t="s">
        <v>270</v>
      </c>
      <c r="C5" s="811" t="s">
        <v>271</v>
      </c>
      <c r="D5" s="811" t="s">
        <v>272</v>
      </c>
      <c r="E5" s="811" t="s">
        <v>273</v>
      </c>
      <c r="F5" s="811" t="s">
        <v>274</v>
      </c>
      <c r="G5" s="811" t="s">
        <v>275</v>
      </c>
      <c r="H5" s="811" t="s">
        <v>276</v>
      </c>
      <c r="I5" s="811" t="s">
        <v>277</v>
      </c>
      <c r="J5" s="811" t="s">
        <v>278</v>
      </c>
      <c r="K5" s="811" t="s">
        <v>279</v>
      </c>
      <c r="L5" s="811"/>
      <c r="M5" s="811"/>
      <c r="N5" s="811"/>
      <c r="O5" s="811"/>
      <c r="P5" s="811"/>
      <c r="Q5" s="811"/>
      <c r="R5" s="811"/>
      <c r="S5" s="811"/>
      <c r="T5" s="811"/>
      <c r="U5" s="811"/>
      <c r="V5" s="811" t="s">
        <v>280</v>
      </c>
      <c r="W5" s="811" t="s">
        <v>281</v>
      </c>
      <c r="X5" s="639" t="s">
        <v>541</v>
      </c>
      <c r="Y5" s="811" t="s">
        <v>548</v>
      </c>
      <c r="Z5" s="640"/>
      <c r="AA5" s="641"/>
      <c r="AB5" s="811" t="s">
        <v>282</v>
      </c>
      <c r="AC5" s="811" t="s">
        <v>3</v>
      </c>
    </row>
    <row r="6" spans="1:29" x14ac:dyDescent="0.25">
      <c r="A6" s="811"/>
      <c r="B6" s="811"/>
      <c r="C6" s="811"/>
      <c r="D6" s="811"/>
      <c r="E6" s="811"/>
      <c r="F6" s="811"/>
      <c r="G6" s="811"/>
      <c r="H6" s="811"/>
      <c r="I6" s="811"/>
      <c r="J6" s="811"/>
      <c r="K6" s="811" t="s">
        <v>283</v>
      </c>
      <c r="L6" s="811" t="s">
        <v>284</v>
      </c>
      <c r="M6" s="811" t="s">
        <v>202</v>
      </c>
      <c r="N6" s="811"/>
      <c r="O6" s="811"/>
      <c r="P6" s="811"/>
      <c r="Q6" s="811" t="s">
        <v>290</v>
      </c>
      <c r="R6" s="639"/>
      <c r="S6" s="639"/>
      <c r="T6" s="639"/>
      <c r="U6" s="639"/>
      <c r="V6" s="811"/>
      <c r="W6" s="811"/>
      <c r="X6" s="639"/>
      <c r="Y6" s="811"/>
      <c r="Z6" s="642"/>
      <c r="AA6" s="643"/>
      <c r="AB6" s="811"/>
      <c r="AC6" s="811"/>
    </row>
    <row r="7" spans="1:29" ht="15.75" customHeight="1" x14ac:dyDescent="0.25">
      <c r="A7" s="811"/>
      <c r="B7" s="811"/>
      <c r="C7" s="811"/>
      <c r="D7" s="811"/>
      <c r="E7" s="811"/>
      <c r="F7" s="811"/>
      <c r="G7" s="811"/>
      <c r="H7" s="811"/>
      <c r="I7" s="811"/>
      <c r="J7" s="811"/>
      <c r="K7" s="811"/>
      <c r="L7" s="811"/>
      <c r="M7" s="811" t="s">
        <v>285</v>
      </c>
      <c r="N7" s="811" t="s">
        <v>286</v>
      </c>
      <c r="O7" s="811" t="s">
        <v>287</v>
      </c>
      <c r="P7" s="811" t="s">
        <v>288</v>
      </c>
      <c r="Q7" s="811"/>
      <c r="R7" s="639"/>
      <c r="S7" s="639"/>
      <c r="T7" s="639"/>
      <c r="U7" s="639"/>
      <c r="V7" s="811"/>
      <c r="W7" s="811"/>
      <c r="X7" s="639"/>
      <c r="Y7" s="811"/>
      <c r="Z7" s="642"/>
      <c r="AA7" s="643"/>
      <c r="AB7" s="811"/>
      <c r="AC7" s="811"/>
    </row>
    <row r="8" spans="1:29" ht="21.75" customHeight="1" x14ac:dyDescent="0.25">
      <c r="A8" s="811"/>
      <c r="B8" s="811"/>
      <c r="C8" s="811"/>
      <c r="D8" s="811"/>
      <c r="E8" s="811"/>
      <c r="F8" s="811"/>
      <c r="G8" s="811"/>
      <c r="H8" s="811"/>
      <c r="I8" s="811"/>
      <c r="J8" s="811"/>
      <c r="K8" s="811"/>
      <c r="L8" s="811"/>
      <c r="M8" s="811"/>
      <c r="N8" s="811"/>
      <c r="O8" s="811"/>
      <c r="P8" s="811"/>
      <c r="Q8" s="811"/>
      <c r="R8" s="644" t="s">
        <v>289</v>
      </c>
      <c r="S8" s="644" t="s">
        <v>290</v>
      </c>
      <c r="T8" s="644" t="s">
        <v>291</v>
      </c>
      <c r="U8" s="644" t="s">
        <v>292</v>
      </c>
      <c r="V8" s="811"/>
      <c r="W8" s="811"/>
      <c r="X8" s="639"/>
      <c r="Y8" s="811"/>
      <c r="Z8" s="645"/>
      <c r="AA8" s="646"/>
      <c r="AB8" s="811"/>
      <c r="AC8" s="811"/>
    </row>
    <row r="9" spans="1:29" s="631" customFormat="1" ht="29.25" customHeight="1" x14ac:dyDescent="0.25">
      <c r="A9" s="814" t="s">
        <v>543</v>
      </c>
      <c r="B9" s="814"/>
      <c r="C9" s="814"/>
      <c r="D9" s="814"/>
      <c r="E9" s="814"/>
      <c r="F9" s="814"/>
      <c r="G9" s="814"/>
      <c r="H9" s="814"/>
      <c r="I9" s="814"/>
      <c r="J9" s="814"/>
      <c r="K9" s="647">
        <f>+K10+K16+K21+K30+K39+K46+K49</f>
        <v>129234.10920399999</v>
      </c>
      <c r="L9" s="647">
        <f t="shared" ref="L9:Y9" si="0">+L10+L16+L21+L30+L39+L46+L49</f>
        <v>96383.263654999988</v>
      </c>
      <c r="M9" s="647">
        <f t="shared" si="0"/>
        <v>29540.002098718302</v>
      </c>
      <c r="N9" s="647">
        <f t="shared" si="0"/>
        <v>2851.4690222816994</v>
      </c>
      <c r="O9" s="647">
        <f t="shared" si="0"/>
        <v>56.082846000000004</v>
      </c>
      <c r="P9" s="647">
        <f t="shared" si="0"/>
        <v>0</v>
      </c>
      <c r="Q9" s="647">
        <f t="shared" si="0"/>
        <v>32850.115549000002</v>
      </c>
      <c r="R9" s="647">
        <f t="shared" si="0"/>
        <v>0</v>
      </c>
      <c r="S9" s="647">
        <f t="shared" si="0"/>
        <v>23565.884888000001</v>
      </c>
      <c r="T9" s="647">
        <f t="shared" si="0"/>
        <v>0</v>
      </c>
      <c r="U9" s="647">
        <f t="shared" si="0"/>
        <v>5626.2306610000005</v>
      </c>
      <c r="V9" s="647"/>
      <c r="W9" s="647">
        <f t="shared" si="0"/>
        <v>43043.056507000008</v>
      </c>
      <c r="X9" s="647">
        <f t="shared" si="0"/>
        <v>34545.862326999995</v>
      </c>
      <c r="Y9" s="647">
        <f t="shared" si="0"/>
        <v>34546.062326999992</v>
      </c>
      <c r="Z9" s="648">
        <f t="shared" ref="Z9:AB9" si="1">+Z10+Z16+Z21+Z30+Z39+Z46+Z49</f>
        <v>0</v>
      </c>
      <c r="AA9" s="648">
        <f t="shared" si="1"/>
        <v>0</v>
      </c>
      <c r="AB9" s="649">
        <f t="shared" si="1"/>
        <v>23729.977511999998</v>
      </c>
      <c r="AC9" s="650"/>
    </row>
    <row r="10" spans="1:29" s="631" customFormat="1" ht="29.25" customHeight="1" x14ac:dyDescent="0.25">
      <c r="A10" s="651" t="s">
        <v>46</v>
      </c>
      <c r="B10" s="813" t="s">
        <v>293</v>
      </c>
      <c r="C10" s="813"/>
      <c r="D10" s="813"/>
      <c r="E10" s="813"/>
      <c r="F10" s="651"/>
      <c r="G10" s="651"/>
      <c r="H10" s="651"/>
      <c r="I10" s="651"/>
      <c r="J10" s="651"/>
      <c r="K10" s="652">
        <f xml:space="preserve"> SUM(K11:K15)</f>
        <v>16912</v>
      </c>
      <c r="L10" s="652">
        <f t="shared" ref="L10:Y10" si="2" xml:space="preserve"> SUM(L11:L15)</f>
        <v>13253</v>
      </c>
      <c r="M10" s="652">
        <f t="shared" si="2"/>
        <v>0</v>
      </c>
      <c r="N10" s="652">
        <f t="shared" si="2"/>
        <v>0</v>
      </c>
      <c r="O10" s="652">
        <f t="shared" si="2"/>
        <v>0</v>
      </c>
      <c r="P10" s="652">
        <f t="shared" si="2"/>
        <v>0</v>
      </c>
      <c r="Q10" s="652">
        <f t="shared" si="2"/>
        <v>3658</v>
      </c>
      <c r="R10" s="652">
        <f t="shared" si="2"/>
        <v>0</v>
      </c>
      <c r="S10" s="652">
        <f t="shared" si="2"/>
        <v>0</v>
      </c>
      <c r="T10" s="652">
        <f t="shared" si="2"/>
        <v>0</v>
      </c>
      <c r="U10" s="652">
        <f t="shared" si="2"/>
        <v>0</v>
      </c>
      <c r="V10" s="652"/>
      <c r="W10" s="652">
        <f t="shared" si="2"/>
        <v>10469</v>
      </c>
      <c r="X10" s="652">
        <f t="shared" si="2"/>
        <v>6504</v>
      </c>
      <c r="Y10" s="652">
        <f t="shared" si="2"/>
        <v>6504</v>
      </c>
      <c r="Z10" s="648">
        <f t="shared" ref="Z10:AB10" si="3" xml:space="preserve"> SUM(Z11:Z15)</f>
        <v>0</v>
      </c>
      <c r="AA10" s="648">
        <f t="shared" si="3"/>
        <v>0</v>
      </c>
      <c r="AB10" s="649">
        <f t="shared" si="3"/>
        <v>3388</v>
      </c>
      <c r="AC10" s="649"/>
    </row>
    <row r="11" spans="1:29" ht="90.75" customHeight="1" x14ac:dyDescent="0.25">
      <c r="A11" s="653">
        <v>1</v>
      </c>
      <c r="B11" s="654" t="s">
        <v>294</v>
      </c>
      <c r="C11" s="653" t="s">
        <v>295</v>
      </c>
      <c r="D11" s="655" t="s">
        <v>296</v>
      </c>
      <c r="E11" s="653" t="s">
        <v>297</v>
      </c>
      <c r="F11" s="653">
        <v>200</v>
      </c>
      <c r="G11" s="653" t="s">
        <v>298</v>
      </c>
      <c r="H11" s="653" t="s">
        <v>299</v>
      </c>
      <c r="I11" s="653" t="s">
        <v>300</v>
      </c>
      <c r="J11" s="656" t="s">
        <v>301</v>
      </c>
      <c r="K11" s="657">
        <v>5527</v>
      </c>
      <c r="L11" s="657">
        <v>4303</v>
      </c>
      <c r="M11" s="657"/>
      <c r="N11" s="657"/>
      <c r="O11" s="657"/>
      <c r="P11" s="657"/>
      <c r="Q11" s="657">
        <f>K11-L11</f>
        <v>1224</v>
      </c>
      <c r="R11" s="657"/>
      <c r="S11" s="657"/>
      <c r="T11" s="657"/>
      <c r="U11" s="657"/>
      <c r="V11" s="399">
        <f>L11/K11</f>
        <v>0.77854170436041248</v>
      </c>
      <c r="W11" s="657">
        <v>2978</v>
      </c>
      <c r="X11" s="657">
        <v>2755</v>
      </c>
      <c r="Y11" s="657">
        <v>2755</v>
      </c>
      <c r="Z11" s="658"/>
      <c r="AA11" s="658"/>
      <c r="AB11" s="659"/>
      <c r="AC11" s="660"/>
    </row>
    <row r="12" spans="1:29" ht="89.25" customHeight="1" x14ac:dyDescent="0.25">
      <c r="A12" s="653">
        <v>2</v>
      </c>
      <c r="B12" s="654" t="s">
        <v>294</v>
      </c>
      <c r="C12" s="653" t="s">
        <v>302</v>
      </c>
      <c r="D12" s="653" t="s">
        <v>303</v>
      </c>
      <c r="E12" s="653" t="s">
        <v>304</v>
      </c>
      <c r="F12" s="661">
        <v>60000</v>
      </c>
      <c r="G12" s="653" t="s">
        <v>305</v>
      </c>
      <c r="H12" s="653" t="str">
        <f>H11</f>
        <v>2023-2025</v>
      </c>
      <c r="I12" s="653" t="str">
        <f>I11</f>
        <v>Đang thẩm định dự án</v>
      </c>
      <c r="J12" s="656" t="str">
        <f>J11</f>
        <v>1.Tư vấn xây dựng liên kết
2. Hỗ Trợ đào tạo tập huấn kỹ thuật
3. Hỗ trợ vật tư, trang thiết bị phục vụ sản xuất, giống vật nuôi
 4. Chi phí xây dựng và quản lý dự án</v>
      </c>
      <c r="K12" s="657">
        <v>5623</v>
      </c>
      <c r="L12" s="657">
        <v>4800</v>
      </c>
      <c r="M12" s="662"/>
      <c r="N12" s="662"/>
      <c r="O12" s="662"/>
      <c r="P12" s="662"/>
      <c r="Q12" s="662">
        <f>K12-L12</f>
        <v>823</v>
      </c>
      <c r="R12" s="662"/>
      <c r="S12" s="662"/>
      <c r="T12" s="662"/>
      <c r="U12" s="662"/>
      <c r="V12" s="399">
        <f t="shared" ref="V12:V15" si="4">L12/K12</f>
        <v>0.85363684865730038</v>
      </c>
      <c r="W12" s="657">
        <v>2271</v>
      </c>
      <c r="X12" s="657">
        <v>2271</v>
      </c>
      <c r="Y12" s="657">
        <v>2271</v>
      </c>
      <c r="Z12" s="658"/>
      <c r="AA12" s="658"/>
      <c r="AB12" s="658">
        <v>2000</v>
      </c>
      <c r="AC12" s="663"/>
    </row>
    <row r="13" spans="1:29" ht="88.5" customHeight="1" x14ac:dyDescent="0.25">
      <c r="A13" s="653">
        <v>3</v>
      </c>
      <c r="B13" s="654" t="s">
        <v>294</v>
      </c>
      <c r="C13" s="653" t="s">
        <v>306</v>
      </c>
      <c r="D13" s="653" t="s">
        <v>307</v>
      </c>
      <c r="E13" s="653" t="s">
        <v>308</v>
      </c>
      <c r="F13" s="653">
        <v>4.5</v>
      </c>
      <c r="G13" s="653" t="s">
        <v>307</v>
      </c>
      <c r="H13" s="653" t="s">
        <v>299</v>
      </c>
      <c r="I13" s="653" t="s">
        <v>300</v>
      </c>
      <c r="J13" s="656" t="s">
        <v>309</v>
      </c>
      <c r="K13" s="657">
        <v>2243</v>
      </c>
      <c r="L13" s="657">
        <v>1120</v>
      </c>
      <c r="M13" s="657"/>
      <c r="N13" s="657"/>
      <c r="O13" s="657"/>
      <c r="P13" s="657"/>
      <c r="Q13" s="657">
        <f>K13-L13</f>
        <v>1123</v>
      </c>
      <c r="R13" s="657"/>
      <c r="S13" s="657"/>
      <c r="T13" s="657"/>
      <c r="U13" s="657"/>
      <c r="V13" s="399">
        <f t="shared" si="4"/>
        <v>0.49933125278644674</v>
      </c>
      <c r="W13" s="657">
        <v>1216</v>
      </c>
      <c r="X13" s="657">
        <v>400</v>
      </c>
      <c r="Y13" s="657">
        <v>400</v>
      </c>
      <c r="Z13" s="664"/>
      <c r="AA13" s="664"/>
      <c r="AB13" s="664">
        <v>400</v>
      </c>
      <c r="AC13" s="663"/>
    </row>
    <row r="14" spans="1:29" ht="89.25" customHeight="1" x14ac:dyDescent="0.25">
      <c r="A14" s="653">
        <v>4</v>
      </c>
      <c r="B14" s="654" t="s">
        <v>294</v>
      </c>
      <c r="C14" s="653" t="s">
        <v>310</v>
      </c>
      <c r="D14" s="653" t="s">
        <v>311</v>
      </c>
      <c r="E14" s="653" t="s">
        <v>312</v>
      </c>
      <c r="F14" s="653">
        <v>36</v>
      </c>
      <c r="G14" s="653" t="s">
        <v>305</v>
      </c>
      <c r="H14" s="653" t="s">
        <v>299</v>
      </c>
      <c r="I14" s="653" t="str">
        <f>I13</f>
        <v>Đang thẩm định dự án</v>
      </c>
      <c r="J14" s="656" t="str">
        <f>J13</f>
        <v>1. Tư vấn xây dựng liên kết
2. Đào tạo tập huấn kỹ thuật
3.Vật tư, trang thiết bị phục vụ sản xuất
4. Hỗ trợ giống, vật tư</v>
      </c>
      <c r="K14" s="657">
        <v>1440</v>
      </c>
      <c r="L14" s="657">
        <v>1368</v>
      </c>
      <c r="M14" s="662"/>
      <c r="N14" s="662"/>
      <c r="O14" s="662"/>
      <c r="P14" s="662"/>
      <c r="Q14" s="662">
        <f>K14-L14</f>
        <v>72</v>
      </c>
      <c r="R14" s="662"/>
      <c r="S14" s="662"/>
      <c r="T14" s="662"/>
      <c r="U14" s="662"/>
      <c r="V14" s="399">
        <f t="shared" si="4"/>
        <v>0.95</v>
      </c>
      <c r="W14" s="657">
        <v>2961</v>
      </c>
      <c r="X14" s="662">
        <v>500</v>
      </c>
      <c r="Y14" s="662">
        <v>500</v>
      </c>
      <c r="Z14" s="664"/>
      <c r="AA14" s="664"/>
      <c r="AB14" s="664">
        <v>500</v>
      </c>
      <c r="AC14" s="663"/>
    </row>
    <row r="15" spans="1:29" ht="123" customHeight="1" x14ac:dyDescent="0.25">
      <c r="A15" s="653">
        <v>5</v>
      </c>
      <c r="B15" s="654" t="s">
        <v>294</v>
      </c>
      <c r="C15" s="653" t="s">
        <v>313</v>
      </c>
      <c r="D15" s="653" t="s">
        <v>314</v>
      </c>
      <c r="E15" s="653" t="s">
        <v>315</v>
      </c>
      <c r="F15" s="653">
        <v>31</v>
      </c>
      <c r="G15" s="653" t="s">
        <v>316</v>
      </c>
      <c r="H15" s="653" t="s">
        <v>299</v>
      </c>
      <c r="I15" s="653" t="s">
        <v>300</v>
      </c>
      <c r="J15" s="656" t="str">
        <f>J12</f>
        <v>1.Tư vấn xây dựng liên kết
2. Hỗ Trợ đào tạo tập huấn kỹ thuật
3. Hỗ trợ vật tư, trang thiết bị phục vụ sản xuất, giống vật nuôi
 4. Chi phí xây dựng và quản lý dự án</v>
      </c>
      <c r="K15" s="657">
        <v>2079</v>
      </c>
      <c r="L15" s="657">
        <v>1662</v>
      </c>
      <c r="M15" s="657"/>
      <c r="N15" s="657"/>
      <c r="O15" s="657"/>
      <c r="P15" s="657"/>
      <c r="Q15" s="657">
        <v>416</v>
      </c>
      <c r="R15" s="657"/>
      <c r="S15" s="657"/>
      <c r="T15" s="657"/>
      <c r="U15" s="657"/>
      <c r="V15" s="399">
        <f t="shared" si="4"/>
        <v>0.79942279942279937</v>
      </c>
      <c r="W15" s="657">
        <v>1043</v>
      </c>
      <c r="X15" s="657">
        <v>578</v>
      </c>
      <c r="Y15" s="657">
        <v>578</v>
      </c>
      <c r="Z15" s="658"/>
      <c r="AA15" s="658"/>
      <c r="AB15" s="665">
        <v>488</v>
      </c>
      <c r="AC15" s="666"/>
    </row>
    <row r="16" spans="1:29" ht="29.25" customHeight="1" x14ac:dyDescent="0.25">
      <c r="A16" s="667" t="s">
        <v>31</v>
      </c>
      <c r="B16" s="812" t="s">
        <v>317</v>
      </c>
      <c r="C16" s="812"/>
      <c r="D16" s="812"/>
      <c r="E16" s="667"/>
      <c r="F16" s="667"/>
      <c r="G16" s="667"/>
      <c r="H16" s="667"/>
      <c r="I16" s="667"/>
      <c r="J16" s="668"/>
      <c r="K16" s="669">
        <f>SUM(K17:K20)</f>
        <v>9227.9331999999995</v>
      </c>
      <c r="L16" s="669">
        <f t="shared" ref="L16:X16" si="5">SUM(L17:L20)</f>
        <v>5705.0778799999998</v>
      </c>
      <c r="M16" s="669">
        <f t="shared" si="5"/>
        <v>0</v>
      </c>
      <c r="N16" s="669">
        <f t="shared" si="5"/>
        <v>0</v>
      </c>
      <c r="O16" s="669">
        <f t="shared" si="5"/>
        <v>0</v>
      </c>
      <c r="P16" s="669">
        <f t="shared" si="5"/>
        <v>0</v>
      </c>
      <c r="Q16" s="669">
        <f t="shared" si="5"/>
        <v>3522.8553199999997</v>
      </c>
      <c r="R16" s="669">
        <f t="shared" si="5"/>
        <v>0</v>
      </c>
      <c r="S16" s="669">
        <f t="shared" si="5"/>
        <v>3522.8553199999997</v>
      </c>
      <c r="T16" s="669">
        <f t="shared" si="5"/>
        <v>0</v>
      </c>
      <c r="U16" s="669">
        <f t="shared" si="5"/>
        <v>0</v>
      </c>
      <c r="V16" s="669"/>
      <c r="W16" s="669">
        <f t="shared" si="5"/>
        <v>2815.2839999999997</v>
      </c>
      <c r="X16" s="669">
        <f t="shared" si="5"/>
        <v>1803.47576</v>
      </c>
      <c r="Y16" s="669">
        <f>SUM(Y17:Y20)+0.2</f>
        <v>1803.6757600000001</v>
      </c>
      <c r="Z16" s="648">
        <f t="shared" ref="Z16:AB16" si="6">SUM(Z17:Z20)</f>
        <v>0</v>
      </c>
      <c r="AA16" s="648">
        <f t="shared" si="6"/>
        <v>0</v>
      </c>
      <c r="AB16" s="649">
        <f t="shared" si="6"/>
        <v>1036.7252000000001</v>
      </c>
      <c r="AC16" s="649"/>
    </row>
    <row r="17" spans="1:29" s="673" customFormat="1" ht="59.25" customHeight="1" x14ac:dyDescent="0.25">
      <c r="A17" s="382">
        <v>1</v>
      </c>
      <c r="B17" s="382" t="s">
        <v>294</v>
      </c>
      <c r="C17" s="382" t="s">
        <v>318</v>
      </c>
      <c r="D17" s="382" t="s">
        <v>319</v>
      </c>
      <c r="E17" s="382" t="s">
        <v>320</v>
      </c>
      <c r="F17" s="382" t="s">
        <v>321</v>
      </c>
      <c r="G17" s="382" t="s">
        <v>322</v>
      </c>
      <c r="H17" s="382" t="s">
        <v>323</v>
      </c>
      <c r="I17" s="382" t="s">
        <v>324</v>
      </c>
      <c r="J17" s="391" t="s">
        <v>325</v>
      </c>
      <c r="K17" s="670">
        <f>L17+Q17</f>
        <v>2382.7383</v>
      </c>
      <c r="L17" s="670">
        <v>1279.2183</v>
      </c>
      <c r="M17" s="670"/>
      <c r="N17" s="670"/>
      <c r="O17" s="670"/>
      <c r="P17" s="670"/>
      <c r="Q17" s="670">
        <f>S17</f>
        <v>1103.52</v>
      </c>
      <c r="R17" s="670"/>
      <c r="S17" s="670">
        <v>1103.52</v>
      </c>
      <c r="T17" s="670"/>
      <c r="U17" s="670"/>
      <c r="V17" s="399">
        <f>L17/K17</f>
        <v>0.53686898808820083</v>
      </c>
      <c r="W17" s="670">
        <f>444.596+424.391</f>
        <v>868.98700000000008</v>
      </c>
      <c r="X17" s="670">
        <f>+Y17+Z17+AA17</f>
        <v>420.16863999999998</v>
      </c>
      <c r="Y17" s="670">
        <v>420.16863999999998</v>
      </c>
      <c r="Z17" s="671"/>
      <c r="AA17" s="671"/>
      <c r="AB17" s="671"/>
      <c r="AC17" s="672"/>
    </row>
    <row r="18" spans="1:29" s="673" customFormat="1" ht="87" customHeight="1" x14ac:dyDescent="0.25">
      <c r="A18" s="382">
        <v>2</v>
      </c>
      <c r="B18" s="382" t="s">
        <v>294</v>
      </c>
      <c r="C18" s="382" t="s">
        <v>326</v>
      </c>
      <c r="D18" s="382" t="s">
        <v>327</v>
      </c>
      <c r="E18" s="382" t="s">
        <v>328</v>
      </c>
      <c r="F18" s="382" t="s">
        <v>329</v>
      </c>
      <c r="G18" s="382" t="s">
        <v>330</v>
      </c>
      <c r="H18" s="382" t="s">
        <v>323</v>
      </c>
      <c r="I18" s="382" t="s">
        <v>331</v>
      </c>
      <c r="J18" s="391" t="s">
        <v>325</v>
      </c>
      <c r="K18" s="670">
        <f>L18+Q18</f>
        <v>1495.1583000000001</v>
      </c>
      <c r="L18" s="670">
        <v>949.15830000000005</v>
      </c>
      <c r="M18" s="670"/>
      <c r="N18" s="670"/>
      <c r="O18" s="670"/>
      <c r="P18" s="670"/>
      <c r="Q18" s="670">
        <f>S18</f>
        <v>546</v>
      </c>
      <c r="R18" s="670"/>
      <c r="S18" s="670">
        <v>546</v>
      </c>
      <c r="T18" s="670"/>
      <c r="U18" s="670"/>
      <c r="V18" s="399">
        <f t="shared" ref="V18:V20" si="7">L18/K18</f>
        <v>0.63482127611504413</v>
      </c>
      <c r="W18" s="670">
        <f>317.856+333.651</f>
        <v>651.50700000000006</v>
      </c>
      <c r="X18" s="670">
        <f>+Y18+Z18+AA18</f>
        <v>238.12103999999999</v>
      </c>
      <c r="Y18" s="670">
        <v>238.12103999999999</v>
      </c>
      <c r="Z18" s="671"/>
      <c r="AA18" s="671"/>
      <c r="AB18" s="671"/>
      <c r="AC18" s="671"/>
    </row>
    <row r="19" spans="1:29" s="673" customFormat="1" ht="74.25" customHeight="1" x14ac:dyDescent="0.25">
      <c r="A19" s="382">
        <v>3</v>
      </c>
      <c r="B19" s="382" t="s">
        <v>332</v>
      </c>
      <c r="C19" s="382" t="s">
        <v>333</v>
      </c>
      <c r="D19" s="382" t="s">
        <v>334</v>
      </c>
      <c r="E19" s="382" t="s">
        <v>335</v>
      </c>
      <c r="F19" s="382" t="s">
        <v>336</v>
      </c>
      <c r="G19" s="382" t="s">
        <v>337</v>
      </c>
      <c r="H19" s="382" t="s">
        <v>338</v>
      </c>
      <c r="I19" s="382" t="s">
        <v>339</v>
      </c>
      <c r="J19" s="391" t="s">
        <v>340</v>
      </c>
      <c r="K19" s="670">
        <f>L19+Q19</f>
        <v>2681.7383</v>
      </c>
      <c r="L19" s="670">
        <v>2145.3906400000001</v>
      </c>
      <c r="M19" s="670"/>
      <c r="N19" s="670"/>
      <c r="O19" s="670"/>
      <c r="P19" s="670"/>
      <c r="Q19" s="670">
        <f>S19</f>
        <v>536.34766000000002</v>
      </c>
      <c r="R19" s="670"/>
      <c r="S19" s="670">
        <v>536.34766000000002</v>
      </c>
      <c r="T19" s="670"/>
      <c r="U19" s="670"/>
      <c r="V19" s="399">
        <f t="shared" si="7"/>
        <v>0.8</v>
      </c>
      <c r="W19" s="670">
        <v>846.3</v>
      </c>
      <c r="X19" s="670">
        <f>+Y19+Z19+AA19</f>
        <v>685.04903999999999</v>
      </c>
      <c r="Y19" s="670">
        <v>685.04903999999999</v>
      </c>
      <c r="Z19" s="671"/>
      <c r="AA19" s="671"/>
      <c r="AB19" s="671">
        <f>+L19-W19-X19</f>
        <v>614.04160000000013</v>
      </c>
      <c r="AC19" s="671"/>
    </row>
    <row r="20" spans="1:29" s="673" customFormat="1" ht="74.25" customHeight="1" x14ac:dyDescent="0.25">
      <c r="A20" s="382">
        <v>4</v>
      </c>
      <c r="B20" s="382" t="s">
        <v>332</v>
      </c>
      <c r="C20" s="382" t="s">
        <v>341</v>
      </c>
      <c r="D20" s="382" t="s">
        <v>319</v>
      </c>
      <c r="E20" s="382" t="s">
        <v>342</v>
      </c>
      <c r="F20" s="382" t="s">
        <v>321</v>
      </c>
      <c r="G20" s="382" t="s">
        <v>337</v>
      </c>
      <c r="H20" s="382" t="s">
        <v>338</v>
      </c>
      <c r="I20" s="382" t="s">
        <v>343</v>
      </c>
      <c r="J20" s="391" t="s">
        <v>340</v>
      </c>
      <c r="K20" s="670">
        <f>L20+Q20</f>
        <v>2668.2982999999999</v>
      </c>
      <c r="L20" s="670">
        <v>1331.3106399999999</v>
      </c>
      <c r="M20" s="670"/>
      <c r="N20" s="670"/>
      <c r="O20" s="670"/>
      <c r="P20" s="670"/>
      <c r="Q20" s="670">
        <f>S20</f>
        <v>1336.98766</v>
      </c>
      <c r="R20" s="670"/>
      <c r="S20" s="670">
        <v>1336.98766</v>
      </c>
      <c r="T20" s="670"/>
      <c r="U20" s="670"/>
      <c r="V20" s="399">
        <f t="shared" si="7"/>
        <v>0.49893620964342705</v>
      </c>
      <c r="W20" s="670">
        <v>448.49</v>
      </c>
      <c r="X20" s="670">
        <f>+Y20+Z20+AA20</f>
        <v>460.13704000000001</v>
      </c>
      <c r="Y20" s="670">
        <v>460.13704000000001</v>
      </c>
      <c r="Z20" s="671"/>
      <c r="AA20" s="671"/>
      <c r="AB20" s="671">
        <f>+L20-W20-X20</f>
        <v>422.6835999999999</v>
      </c>
      <c r="AC20" s="674"/>
    </row>
    <row r="21" spans="1:29" s="631" customFormat="1" ht="29.25" customHeight="1" x14ac:dyDescent="0.25">
      <c r="A21" s="667" t="s">
        <v>54</v>
      </c>
      <c r="B21" s="812" t="s">
        <v>344</v>
      </c>
      <c r="C21" s="812"/>
      <c r="D21" s="812"/>
      <c r="E21" s="667"/>
      <c r="F21" s="667"/>
      <c r="G21" s="667"/>
      <c r="H21" s="667"/>
      <c r="I21" s="667"/>
      <c r="J21" s="668"/>
      <c r="K21" s="669">
        <f>SUM(K22:K29)</f>
        <v>26226.609661000002</v>
      </c>
      <c r="L21" s="669">
        <f t="shared" ref="L21:Y21" si="8">SUM(L22:L29)</f>
        <v>20600.379000000001</v>
      </c>
      <c r="M21" s="669">
        <f t="shared" si="8"/>
        <v>0</v>
      </c>
      <c r="N21" s="669">
        <f t="shared" si="8"/>
        <v>0</v>
      </c>
      <c r="O21" s="669">
        <f t="shared" si="8"/>
        <v>0</v>
      </c>
      <c r="P21" s="669">
        <f t="shared" si="8"/>
        <v>0</v>
      </c>
      <c r="Q21" s="669">
        <f t="shared" si="8"/>
        <v>5626.2306610000005</v>
      </c>
      <c r="R21" s="669">
        <f t="shared" si="8"/>
        <v>0</v>
      </c>
      <c r="S21" s="669">
        <f t="shared" si="8"/>
        <v>0</v>
      </c>
      <c r="T21" s="669">
        <f t="shared" si="8"/>
        <v>0</v>
      </c>
      <c r="U21" s="669">
        <f t="shared" si="8"/>
        <v>5626.2306610000005</v>
      </c>
      <c r="V21" s="669"/>
      <c r="W21" s="669">
        <f t="shared" si="8"/>
        <v>4529.3789999999999</v>
      </c>
      <c r="X21" s="669">
        <f t="shared" si="8"/>
        <v>8013</v>
      </c>
      <c r="Y21" s="669">
        <f t="shared" si="8"/>
        <v>8013</v>
      </c>
      <c r="Z21" s="648">
        <f t="shared" ref="Z21:AB21" si="9">SUM(Z22:Z29)</f>
        <v>0</v>
      </c>
      <c r="AA21" s="648">
        <f t="shared" si="9"/>
        <v>0</v>
      </c>
      <c r="AB21" s="649">
        <f t="shared" si="9"/>
        <v>5443</v>
      </c>
      <c r="AC21" s="649"/>
    </row>
    <row r="22" spans="1:29" ht="72.75" customHeight="1" x14ac:dyDescent="0.25">
      <c r="A22" s="382">
        <v>1</v>
      </c>
      <c r="B22" s="382" t="s">
        <v>345</v>
      </c>
      <c r="C22" s="382" t="s">
        <v>346</v>
      </c>
      <c r="D22" s="382" t="s">
        <v>347</v>
      </c>
      <c r="E22" s="382" t="s">
        <v>348</v>
      </c>
      <c r="F22" s="382" t="s">
        <v>349</v>
      </c>
      <c r="G22" s="382" t="s">
        <v>350</v>
      </c>
      <c r="H22" s="382" t="s">
        <v>351</v>
      </c>
      <c r="I22" s="382"/>
      <c r="J22" s="383" t="s">
        <v>352</v>
      </c>
      <c r="K22" s="395">
        <f t="shared" ref="K22:K29" si="10">L22+Q22</f>
        <v>1559.2010620000001</v>
      </c>
      <c r="L22" s="396">
        <v>1231</v>
      </c>
      <c r="M22" s="393"/>
      <c r="N22" s="393"/>
      <c r="O22" s="395"/>
      <c r="P22" s="395"/>
      <c r="Q22" s="394">
        <f t="shared" ref="Q22:Q29" si="11">SUM(R22:U22)</f>
        <v>328.20106199999998</v>
      </c>
      <c r="R22" s="395"/>
      <c r="S22" s="394"/>
      <c r="T22" s="395"/>
      <c r="U22" s="395">
        <v>328.20106199999998</v>
      </c>
      <c r="V22" s="399">
        <f>L22/K22</f>
        <v>0.7895069019648987</v>
      </c>
      <c r="W22" s="395">
        <v>0</v>
      </c>
      <c r="X22" s="395">
        <f>Y22</f>
        <v>408</v>
      </c>
      <c r="Y22" s="395">
        <v>408</v>
      </c>
      <c r="Z22" s="384"/>
      <c r="AA22" s="384"/>
      <c r="AB22" s="381">
        <f>Y22</f>
        <v>408</v>
      </c>
      <c r="AC22" s="653" t="s">
        <v>353</v>
      </c>
    </row>
    <row r="23" spans="1:29" ht="74.25" customHeight="1" x14ac:dyDescent="0.25">
      <c r="A23" s="382">
        <v>2</v>
      </c>
      <c r="B23" s="382" t="s">
        <v>354</v>
      </c>
      <c r="C23" s="382" t="s">
        <v>355</v>
      </c>
      <c r="D23" s="382" t="s">
        <v>356</v>
      </c>
      <c r="E23" s="382" t="s">
        <v>357</v>
      </c>
      <c r="F23" s="382" t="s">
        <v>358</v>
      </c>
      <c r="G23" s="382" t="s">
        <v>359</v>
      </c>
      <c r="H23" s="382" t="s">
        <v>351</v>
      </c>
      <c r="I23" s="382"/>
      <c r="J23" s="383" t="s">
        <v>360</v>
      </c>
      <c r="K23" s="395">
        <f t="shared" si="10"/>
        <v>4450.5150000000003</v>
      </c>
      <c r="L23" s="395">
        <v>3554.4</v>
      </c>
      <c r="M23" s="393"/>
      <c r="N23" s="393"/>
      <c r="O23" s="395"/>
      <c r="P23" s="395"/>
      <c r="Q23" s="394">
        <f t="shared" si="11"/>
        <v>896.11500000000001</v>
      </c>
      <c r="R23" s="395"/>
      <c r="S23" s="396"/>
      <c r="T23" s="395"/>
      <c r="U23" s="395">
        <f>298.705*3</f>
        <v>896.11500000000001</v>
      </c>
      <c r="V23" s="399">
        <f t="shared" ref="V23:V29" si="12">L23/K23</f>
        <v>0.79864914509893792</v>
      </c>
      <c r="W23" s="395">
        <v>1184.4000000000001</v>
      </c>
      <c r="X23" s="395">
        <v>1185</v>
      </c>
      <c r="Y23" s="395">
        <f>+X23</f>
        <v>1185</v>
      </c>
      <c r="Z23" s="384"/>
      <c r="AA23" s="384"/>
      <c r="AB23" s="384">
        <f>X23</f>
        <v>1185</v>
      </c>
      <c r="AC23" s="675"/>
    </row>
    <row r="24" spans="1:29" ht="60" customHeight="1" x14ac:dyDescent="0.25">
      <c r="A24" s="382">
        <v>3</v>
      </c>
      <c r="B24" s="382" t="s">
        <v>361</v>
      </c>
      <c r="C24" s="382" t="s">
        <v>362</v>
      </c>
      <c r="D24" s="382" t="s">
        <v>363</v>
      </c>
      <c r="E24" s="382" t="s">
        <v>364</v>
      </c>
      <c r="F24" s="382" t="s">
        <v>365</v>
      </c>
      <c r="G24" s="382" t="s">
        <v>366</v>
      </c>
      <c r="H24" s="382" t="s">
        <v>351</v>
      </c>
      <c r="I24" s="382"/>
      <c r="J24" s="385" t="s">
        <v>547</v>
      </c>
      <c r="K24" s="395">
        <f t="shared" si="10"/>
        <v>1613.819</v>
      </c>
      <c r="L24" s="396">
        <v>1296.299</v>
      </c>
      <c r="M24" s="393"/>
      <c r="N24" s="393"/>
      <c r="O24" s="395"/>
      <c r="P24" s="395"/>
      <c r="Q24" s="394">
        <f t="shared" si="11"/>
        <v>317.52</v>
      </c>
      <c r="R24" s="395"/>
      <c r="S24" s="396"/>
      <c r="T24" s="395"/>
      <c r="U24" s="395">
        <f>105.84*3</f>
        <v>317.52</v>
      </c>
      <c r="V24" s="399">
        <f t="shared" si="12"/>
        <v>0.80324931110614017</v>
      </c>
      <c r="W24" s="395">
        <v>436.29899999999998</v>
      </c>
      <c r="X24" s="395">
        <f t="shared" ref="X24:X29" si="13">Y24</f>
        <v>430</v>
      </c>
      <c r="Y24" s="395">
        <v>430</v>
      </c>
      <c r="Z24" s="384"/>
      <c r="AA24" s="384"/>
      <c r="AB24" s="384">
        <f>Y24</f>
        <v>430</v>
      </c>
      <c r="AC24" s="676"/>
    </row>
    <row r="25" spans="1:29" ht="90.75" customHeight="1" x14ac:dyDescent="0.25">
      <c r="A25" s="382">
        <v>4</v>
      </c>
      <c r="B25" s="382" t="s">
        <v>367</v>
      </c>
      <c r="C25" s="382" t="s">
        <v>368</v>
      </c>
      <c r="D25" s="382" t="s">
        <v>369</v>
      </c>
      <c r="E25" s="386" t="s">
        <v>370</v>
      </c>
      <c r="F25" s="382" t="s">
        <v>371</v>
      </c>
      <c r="G25" s="382" t="s">
        <v>372</v>
      </c>
      <c r="H25" s="382" t="s">
        <v>351</v>
      </c>
      <c r="I25" s="382"/>
      <c r="J25" s="387" t="s">
        <v>373</v>
      </c>
      <c r="K25" s="395">
        <f t="shared" si="10"/>
        <v>6663.875</v>
      </c>
      <c r="L25" s="395">
        <v>5000</v>
      </c>
      <c r="M25" s="395"/>
      <c r="N25" s="395"/>
      <c r="O25" s="395"/>
      <c r="P25" s="395"/>
      <c r="Q25" s="394">
        <f t="shared" si="11"/>
        <v>1663.875</v>
      </c>
      <c r="R25" s="395"/>
      <c r="S25" s="395"/>
      <c r="T25" s="395"/>
      <c r="U25" s="395">
        <v>1663.875</v>
      </c>
      <c r="V25" s="399">
        <f t="shared" si="12"/>
        <v>0.75031419406876632</v>
      </c>
      <c r="W25" s="395">
        <v>0</v>
      </c>
      <c r="X25" s="395">
        <f t="shared" si="13"/>
        <v>2800</v>
      </c>
      <c r="Y25" s="395">
        <v>2800</v>
      </c>
      <c r="Z25" s="384"/>
      <c r="AA25" s="384"/>
      <c r="AB25" s="384"/>
      <c r="AC25" s="653" t="s">
        <v>374</v>
      </c>
    </row>
    <row r="26" spans="1:29" ht="90" customHeight="1" x14ac:dyDescent="0.25">
      <c r="A26" s="382">
        <v>5</v>
      </c>
      <c r="B26" s="382" t="s">
        <v>367</v>
      </c>
      <c r="C26" s="382" t="s">
        <v>368</v>
      </c>
      <c r="D26" s="382" t="s">
        <v>369</v>
      </c>
      <c r="E26" s="386" t="s">
        <v>375</v>
      </c>
      <c r="F26" s="382" t="s">
        <v>376</v>
      </c>
      <c r="G26" s="382" t="s">
        <v>377</v>
      </c>
      <c r="H26" s="382" t="s">
        <v>351</v>
      </c>
      <c r="I26" s="382"/>
      <c r="J26" s="385" t="s">
        <v>546</v>
      </c>
      <c r="K26" s="395">
        <f t="shared" si="10"/>
        <v>6257.612658</v>
      </c>
      <c r="L26" s="395">
        <v>4997.05</v>
      </c>
      <c r="M26" s="395"/>
      <c r="N26" s="395"/>
      <c r="O26" s="395"/>
      <c r="P26" s="395"/>
      <c r="Q26" s="394">
        <f t="shared" si="11"/>
        <v>1260.5626580000001</v>
      </c>
      <c r="R26" s="395"/>
      <c r="S26" s="395"/>
      <c r="T26" s="395"/>
      <c r="U26" s="395">
        <v>1260.5626580000001</v>
      </c>
      <c r="V26" s="399">
        <f t="shared" si="12"/>
        <v>0.79855533940912071</v>
      </c>
      <c r="W26" s="395">
        <v>2027.05</v>
      </c>
      <c r="X26" s="395">
        <f t="shared" si="13"/>
        <v>1370</v>
      </c>
      <c r="Y26" s="395">
        <v>1370</v>
      </c>
      <c r="Z26" s="384"/>
      <c r="AA26" s="384"/>
      <c r="AB26" s="384">
        <v>1600</v>
      </c>
      <c r="AC26" s="676"/>
    </row>
    <row r="27" spans="1:29" ht="72" customHeight="1" x14ac:dyDescent="0.25">
      <c r="A27" s="382">
        <v>6</v>
      </c>
      <c r="B27" s="382" t="s">
        <v>378</v>
      </c>
      <c r="C27" s="382" t="s">
        <v>379</v>
      </c>
      <c r="D27" s="382" t="s">
        <v>380</v>
      </c>
      <c r="E27" s="386" t="s">
        <v>381</v>
      </c>
      <c r="F27" s="382" t="s">
        <v>382</v>
      </c>
      <c r="G27" s="382" t="s">
        <v>383</v>
      </c>
      <c r="H27" s="382" t="s">
        <v>351</v>
      </c>
      <c r="I27" s="382"/>
      <c r="J27" s="385" t="s">
        <v>547</v>
      </c>
      <c r="K27" s="395">
        <f t="shared" si="10"/>
        <v>1601.586941</v>
      </c>
      <c r="L27" s="395">
        <v>1271.6300000000001</v>
      </c>
      <c r="M27" s="395"/>
      <c r="N27" s="395"/>
      <c r="O27" s="395"/>
      <c r="P27" s="395"/>
      <c r="Q27" s="394">
        <f t="shared" si="11"/>
        <v>329.95694099999997</v>
      </c>
      <c r="R27" s="395"/>
      <c r="S27" s="395"/>
      <c r="T27" s="395"/>
      <c r="U27" s="395">
        <v>329.95694099999997</v>
      </c>
      <c r="V27" s="399">
        <f t="shared" si="12"/>
        <v>0.79398124912658119</v>
      </c>
      <c r="W27" s="395">
        <v>431.63</v>
      </c>
      <c r="X27" s="395">
        <f t="shared" si="13"/>
        <v>420</v>
      </c>
      <c r="Y27" s="395">
        <v>420</v>
      </c>
      <c r="Z27" s="384"/>
      <c r="AA27" s="384"/>
      <c r="AB27" s="384">
        <f>Y27</f>
        <v>420</v>
      </c>
      <c r="AC27" s="676"/>
    </row>
    <row r="28" spans="1:29" ht="69.75" customHeight="1" x14ac:dyDescent="0.25">
      <c r="A28" s="382">
        <v>7</v>
      </c>
      <c r="B28" s="382" t="s">
        <v>378</v>
      </c>
      <c r="C28" s="382" t="s">
        <v>379</v>
      </c>
      <c r="D28" s="382" t="s">
        <v>380</v>
      </c>
      <c r="E28" s="386" t="s">
        <v>384</v>
      </c>
      <c r="F28" s="382" t="s">
        <v>382</v>
      </c>
      <c r="G28" s="382" t="s">
        <v>385</v>
      </c>
      <c r="H28" s="382" t="s">
        <v>351</v>
      </c>
      <c r="I28" s="382"/>
      <c r="J28" s="385" t="s">
        <v>545</v>
      </c>
      <c r="K28" s="395">
        <f t="shared" si="10"/>
        <v>2400</v>
      </c>
      <c r="L28" s="395">
        <f>950*2</f>
        <v>1900</v>
      </c>
      <c r="M28" s="395"/>
      <c r="N28" s="395"/>
      <c r="O28" s="395"/>
      <c r="P28" s="395"/>
      <c r="Q28" s="394">
        <f t="shared" si="11"/>
        <v>500</v>
      </c>
      <c r="R28" s="395"/>
      <c r="S28" s="395"/>
      <c r="T28" s="395"/>
      <c r="U28" s="395">
        <v>500</v>
      </c>
      <c r="V28" s="399">
        <f t="shared" si="12"/>
        <v>0.79166666666666663</v>
      </c>
      <c r="W28" s="395"/>
      <c r="X28" s="395">
        <f t="shared" si="13"/>
        <v>950</v>
      </c>
      <c r="Y28" s="395">
        <v>950</v>
      </c>
      <c r="Z28" s="384"/>
      <c r="AA28" s="384"/>
      <c r="AB28" s="384">
        <f>Y28</f>
        <v>950</v>
      </c>
      <c r="AC28" s="653" t="s">
        <v>386</v>
      </c>
    </row>
    <row r="29" spans="1:29" ht="92.25" customHeight="1" x14ac:dyDescent="0.25">
      <c r="A29" s="382">
        <v>8</v>
      </c>
      <c r="B29" s="382" t="s">
        <v>387</v>
      </c>
      <c r="C29" s="382" t="s">
        <v>388</v>
      </c>
      <c r="D29" s="382" t="s">
        <v>389</v>
      </c>
      <c r="E29" s="386" t="s">
        <v>390</v>
      </c>
      <c r="F29" s="382" t="s">
        <v>391</v>
      </c>
      <c r="G29" s="382" t="s">
        <v>392</v>
      </c>
      <c r="H29" s="382" t="s">
        <v>351</v>
      </c>
      <c r="I29" s="382"/>
      <c r="J29" s="385" t="s">
        <v>544</v>
      </c>
      <c r="K29" s="395">
        <f t="shared" si="10"/>
        <v>1680</v>
      </c>
      <c r="L29" s="395">
        <f>450*3</f>
        <v>1350</v>
      </c>
      <c r="M29" s="395"/>
      <c r="N29" s="395"/>
      <c r="O29" s="395"/>
      <c r="P29" s="395"/>
      <c r="Q29" s="394">
        <f t="shared" si="11"/>
        <v>330</v>
      </c>
      <c r="R29" s="395"/>
      <c r="S29" s="395"/>
      <c r="T29" s="395"/>
      <c r="U29" s="395">
        <f>110*3</f>
        <v>330</v>
      </c>
      <c r="V29" s="399">
        <f t="shared" si="12"/>
        <v>0.8035714285714286</v>
      </c>
      <c r="W29" s="395">
        <v>450</v>
      </c>
      <c r="X29" s="395">
        <f t="shared" si="13"/>
        <v>450</v>
      </c>
      <c r="Y29" s="395">
        <v>450</v>
      </c>
      <c r="Z29" s="384"/>
      <c r="AA29" s="384"/>
      <c r="AB29" s="388">
        <f>Y29</f>
        <v>450</v>
      </c>
      <c r="AC29" s="677"/>
    </row>
    <row r="30" spans="1:29" s="631" customFormat="1" ht="29.25" customHeight="1" x14ac:dyDescent="0.25">
      <c r="A30" s="667" t="s">
        <v>56</v>
      </c>
      <c r="B30" s="812" t="s">
        <v>393</v>
      </c>
      <c r="C30" s="812"/>
      <c r="D30" s="812"/>
      <c r="E30" s="667"/>
      <c r="F30" s="667"/>
      <c r="G30" s="667"/>
      <c r="H30" s="667"/>
      <c r="I30" s="667"/>
      <c r="J30" s="668"/>
      <c r="K30" s="669">
        <f>SUM(K31:K38)</f>
        <v>14509.510925999999</v>
      </c>
      <c r="L30" s="669">
        <f t="shared" ref="L30:Y30" si="14">SUM(L31:L38)</f>
        <v>10644.011326</v>
      </c>
      <c r="M30" s="669">
        <f t="shared" si="14"/>
        <v>10215.522256</v>
      </c>
      <c r="N30" s="669">
        <f t="shared" si="14"/>
        <v>372.40622400000001</v>
      </c>
      <c r="O30" s="669">
        <f t="shared" si="14"/>
        <v>56.082846000000004</v>
      </c>
      <c r="P30" s="669">
        <f t="shared" si="14"/>
        <v>0</v>
      </c>
      <c r="Q30" s="669">
        <f t="shared" si="14"/>
        <v>3865.4996000000001</v>
      </c>
      <c r="R30" s="669">
        <f t="shared" si="14"/>
        <v>0</v>
      </c>
      <c r="S30" s="669">
        <f t="shared" si="14"/>
        <v>3865.4996000000001</v>
      </c>
      <c r="T30" s="669">
        <f t="shared" si="14"/>
        <v>0</v>
      </c>
      <c r="U30" s="669">
        <f t="shared" si="14"/>
        <v>0</v>
      </c>
      <c r="V30" s="669"/>
      <c r="W30" s="669">
        <f t="shared" si="14"/>
        <v>4563.7430000000004</v>
      </c>
      <c r="X30" s="669">
        <f t="shared" si="14"/>
        <v>3170.5076929999996</v>
      </c>
      <c r="Y30" s="669">
        <f t="shared" si="14"/>
        <v>3170.5076929999996</v>
      </c>
      <c r="Z30" s="648">
        <f t="shared" ref="Z30:AB30" si="15">SUM(Z31:Z38)</f>
        <v>0</v>
      </c>
      <c r="AA30" s="648">
        <f t="shared" si="15"/>
        <v>0</v>
      </c>
      <c r="AB30" s="649">
        <f t="shared" si="15"/>
        <v>2237.8502440000002</v>
      </c>
      <c r="AC30" s="649"/>
    </row>
    <row r="31" spans="1:29" ht="58.5" customHeight="1" x14ac:dyDescent="0.25">
      <c r="A31" s="382">
        <v>1</v>
      </c>
      <c r="B31" s="382" t="s">
        <v>394</v>
      </c>
      <c r="C31" s="382" t="s">
        <v>395</v>
      </c>
      <c r="D31" s="382" t="s">
        <v>396</v>
      </c>
      <c r="E31" s="382" t="s">
        <v>397</v>
      </c>
      <c r="F31" s="382" t="s">
        <v>398</v>
      </c>
      <c r="G31" s="382" t="s">
        <v>399</v>
      </c>
      <c r="H31" s="382" t="s">
        <v>323</v>
      </c>
      <c r="I31" s="382" t="s">
        <v>400</v>
      </c>
      <c r="J31" s="391" t="s">
        <v>401</v>
      </c>
      <c r="K31" s="395">
        <v>1423.35</v>
      </c>
      <c r="L31" s="395">
        <v>751.35</v>
      </c>
      <c r="M31" s="395">
        <v>745.5</v>
      </c>
      <c r="N31" s="395"/>
      <c r="O31" s="395">
        <v>5.85</v>
      </c>
      <c r="P31" s="395"/>
      <c r="Q31" s="395">
        <v>672</v>
      </c>
      <c r="R31" s="395"/>
      <c r="S31" s="395">
        <v>672</v>
      </c>
      <c r="T31" s="395"/>
      <c r="U31" s="395"/>
      <c r="V31" s="399">
        <f>L31/K31</f>
        <v>0.52787438086205085</v>
      </c>
      <c r="W31" s="395">
        <v>289.5</v>
      </c>
      <c r="X31" s="395">
        <v>295.42500000000001</v>
      </c>
      <c r="Y31" s="395">
        <v>295.42500000000001</v>
      </c>
      <c r="Z31" s="390"/>
      <c r="AA31" s="390"/>
      <c r="AB31" s="389">
        <v>0</v>
      </c>
      <c r="AC31" s="389"/>
    </row>
    <row r="32" spans="1:29" ht="59.25" customHeight="1" x14ac:dyDescent="0.25">
      <c r="A32" s="382">
        <v>2</v>
      </c>
      <c r="B32" s="382" t="s">
        <v>394</v>
      </c>
      <c r="C32" s="382" t="s">
        <v>402</v>
      </c>
      <c r="D32" s="382" t="s">
        <v>403</v>
      </c>
      <c r="E32" s="382" t="s">
        <v>404</v>
      </c>
      <c r="F32" s="382" t="s">
        <v>405</v>
      </c>
      <c r="G32" s="382" t="s">
        <v>406</v>
      </c>
      <c r="H32" s="382" t="s">
        <v>323</v>
      </c>
      <c r="I32" s="382" t="s">
        <v>407</v>
      </c>
      <c r="J32" s="391" t="s">
        <v>401</v>
      </c>
      <c r="K32" s="395">
        <v>1206.92</v>
      </c>
      <c r="L32" s="395">
        <v>906</v>
      </c>
      <c r="M32" s="395">
        <v>900</v>
      </c>
      <c r="N32" s="395"/>
      <c r="O32" s="395">
        <v>6</v>
      </c>
      <c r="P32" s="395"/>
      <c r="Q32" s="395">
        <v>300.92</v>
      </c>
      <c r="R32" s="395"/>
      <c r="S32" s="395">
        <v>300.92</v>
      </c>
      <c r="T32" s="395"/>
      <c r="U32" s="395"/>
      <c r="V32" s="399">
        <f t="shared" ref="V32:V38" si="16">L32/K32</f>
        <v>0.75067112981804918</v>
      </c>
      <c r="W32" s="395">
        <v>383.08</v>
      </c>
      <c r="X32" s="395">
        <v>303</v>
      </c>
      <c r="Y32" s="395">
        <v>303</v>
      </c>
      <c r="Z32" s="390"/>
      <c r="AA32" s="390"/>
      <c r="AB32" s="390">
        <v>0</v>
      </c>
      <c r="AC32" s="390"/>
    </row>
    <row r="33" spans="1:29" ht="61.5" customHeight="1" x14ac:dyDescent="0.25">
      <c r="A33" s="382">
        <v>3</v>
      </c>
      <c r="B33" s="382" t="s">
        <v>394</v>
      </c>
      <c r="C33" s="382" t="s">
        <v>408</v>
      </c>
      <c r="D33" s="382" t="s">
        <v>409</v>
      </c>
      <c r="E33" s="382" t="s">
        <v>410</v>
      </c>
      <c r="F33" s="382" t="s">
        <v>411</v>
      </c>
      <c r="G33" s="382" t="s">
        <v>412</v>
      </c>
      <c r="H33" s="382" t="s">
        <v>323</v>
      </c>
      <c r="I33" s="382" t="s">
        <v>413</v>
      </c>
      <c r="J33" s="391" t="s">
        <v>414</v>
      </c>
      <c r="K33" s="395">
        <v>1238.2199999999998</v>
      </c>
      <c r="L33" s="395">
        <v>968.73599999999988</v>
      </c>
      <c r="M33" s="395">
        <v>968.73599999999988</v>
      </c>
      <c r="N33" s="395"/>
      <c r="O33" s="395"/>
      <c r="P33" s="395"/>
      <c r="Q33" s="395">
        <v>269.48400000000004</v>
      </c>
      <c r="R33" s="395"/>
      <c r="S33" s="395">
        <v>269.48400000000004</v>
      </c>
      <c r="T33" s="395"/>
      <c r="U33" s="395"/>
      <c r="V33" s="399">
        <f t="shared" si="16"/>
        <v>0.78236177739012458</v>
      </c>
      <c r="W33" s="395">
        <v>645.82399999999996</v>
      </c>
      <c r="X33" s="395">
        <v>322.91199999999998</v>
      </c>
      <c r="Y33" s="395">
        <v>322.91199999999998</v>
      </c>
      <c r="Z33" s="390"/>
      <c r="AA33" s="390"/>
      <c r="AB33" s="390">
        <v>0</v>
      </c>
      <c r="AC33" s="390"/>
    </row>
    <row r="34" spans="1:29" ht="59.25" customHeight="1" x14ac:dyDescent="0.25">
      <c r="A34" s="382">
        <v>4</v>
      </c>
      <c r="B34" s="382" t="s">
        <v>394</v>
      </c>
      <c r="C34" s="382" t="s">
        <v>415</v>
      </c>
      <c r="D34" s="382" t="s">
        <v>416</v>
      </c>
      <c r="E34" s="382" t="s">
        <v>397</v>
      </c>
      <c r="F34" s="382" t="s">
        <v>398</v>
      </c>
      <c r="G34" s="382" t="s">
        <v>417</v>
      </c>
      <c r="H34" s="382" t="s">
        <v>299</v>
      </c>
      <c r="I34" s="382"/>
      <c r="J34" s="391" t="s">
        <v>418</v>
      </c>
      <c r="K34" s="395">
        <v>1572.1449</v>
      </c>
      <c r="L34" s="395">
        <v>1054.6449</v>
      </c>
      <c r="M34" s="395">
        <v>1040.55675</v>
      </c>
      <c r="N34" s="395"/>
      <c r="O34" s="395">
        <v>14.088150000000001</v>
      </c>
      <c r="P34" s="395"/>
      <c r="Q34" s="395">
        <v>517.5</v>
      </c>
      <c r="R34" s="395"/>
      <c r="S34" s="395">
        <v>517.5</v>
      </c>
      <c r="T34" s="395"/>
      <c r="U34" s="395"/>
      <c r="V34" s="399">
        <f t="shared" si="16"/>
        <v>0.67083186797858141</v>
      </c>
      <c r="W34" s="395">
        <v>361.35</v>
      </c>
      <c r="X34" s="395">
        <v>339.64449999999999</v>
      </c>
      <c r="Y34" s="395">
        <v>339.64449999999999</v>
      </c>
      <c r="Z34" s="390"/>
      <c r="AA34" s="390"/>
      <c r="AB34" s="390">
        <v>339.64055000000002</v>
      </c>
      <c r="AC34" s="390"/>
    </row>
    <row r="35" spans="1:29" ht="56.25" customHeight="1" x14ac:dyDescent="0.25">
      <c r="A35" s="382">
        <v>5</v>
      </c>
      <c r="B35" s="382" t="s">
        <v>394</v>
      </c>
      <c r="C35" s="382" t="s">
        <v>419</v>
      </c>
      <c r="D35" s="382" t="s">
        <v>420</v>
      </c>
      <c r="E35" s="382" t="s">
        <v>421</v>
      </c>
      <c r="F35" s="382" t="s">
        <v>422</v>
      </c>
      <c r="G35" s="382" t="s">
        <v>423</v>
      </c>
      <c r="H35" s="382" t="s">
        <v>299</v>
      </c>
      <c r="I35" s="382"/>
      <c r="J35" s="391" t="s">
        <v>418</v>
      </c>
      <c r="K35" s="395">
        <v>1979.4202</v>
      </c>
      <c r="L35" s="395">
        <v>1503.7102</v>
      </c>
      <c r="M35" s="395">
        <v>1323.2649759999999</v>
      </c>
      <c r="N35" s="395">
        <v>180.445224</v>
      </c>
      <c r="O35" s="395"/>
      <c r="P35" s="395"/>
      <c r="Q35" s="395">
        <v>475.71</v>
      </c>
      <c r="R35" s="395"/>
      <c r="S35" s="395">
        <v>475.71</v>
      </c>
      <c r="T35" s="395"/>
      <c r="U35" s="395"/>
      <c r="V35" s="399">
        <f t="shared" si="16"/>
        <v>0.75967204942134059</v>
      </c>
      <c r="W35" s="395">
        <v>625.80499999999995</v>
      </c>
      <c r="X35" s="395">
        <v>474.53309999999999</v>
      </c>
      <c r="Y35" s="395">
        <v>474.53309999999999</v>
      </c>
      <c r="Z35" s="390"/>
      <c r="AA35" s="390"/>
      <c r="AB35" s="390">
        <v>474.53309999999999</v>
      </c>
      <c r="AC35" s="390"/>
    </row>
    <row r="36" spans="1:29" ht="57" customHeight="1" x14ac:dyDescent="0.25">
      <c r="A36" s="382">
        <v>6</v>
      </c>
      <c r="B36" s="382" t="s">
        <v>394</v>
      </c>
      <c r="C36" s="382" t="s">
        <v>424</v>
      </c>
      <c r="D36" s="382" t="s">
        <v>425</v>
      </c>
      <c r="E36" s="382" t="s">
        <v>426</v>
      </c>
      <c r="F36" s="382" t="s">
        <v>427</v>
      </c>
      <c r="G36" s="382" t="s">
        <v>428</v>
      </c>
      <c r="H36" s="382" t="s">
        <v>299</v>
      </c>
      <c r="I36" s="382"/>
      <c r="J36" s="391" t="s">
        <v>418</v>
      </c>
      <c r="K36" s="395">
        <v>2007.675</v>
      </c>
      <c r="L36" s="395">
        <v>1599.675</v>
      </c>
      <c r="M36" s="395">
        <v>1407.7139999999999</v>
      </c>
      <c r="N36" s="395">
        <v>191.96100000000001</v>
      </c>
      <c r="O36" s="395"/>
      <c r="P36" s="395"/>
      <c r="Q36" s="395">
        <v>408</v>
      </c>
      <c r="R36" s="395"/>
      <c r="S36" s="395">
        <v>408</v>
      </c>
      <c r="T36" s="395"/>
      <c r="U36" s="395"/>
      <c r="V36" s="399">
        <f t="shared" si="16"/>
        <v>0.79677985729762035</v>
      </c>
      <c r="W36" s="395">
        <v>594</v>
      </c>
      <c r="X36" s="395">
        <v>511.35</v>
      </c>
      <c r="Y36" s="395">
        <v>511.35</v>
      </c>
      <c r="Z36" s="390"/>
      <c r="AA36" s="390"/>
      <c r="AB36" s="390">
        <v>511.35</v>
      </c>
      <c r="AC36" s="390"/>
    </row>
    <row r="37" spans="1:29" ht="54.75" customHeight="1" x14ac:dyDescent="0.25">
      <c r="A37" s="382">
        <v>7</v>
      </c>
      <c r="B37" s="382" t="s">
        <v>394</v>
      </c>
      <c r="C37" s="382" t="s">
        <v>429</v>
      </c>
      <c r="D37" s="382" t="s">
        <v>430</v>
      </c>
      <c r="E37" s="382" t="s">
        <v>431</v>
      </c>
      <c r="F37" s="382" t="s">
        <v>432</v>
      </c>
      <c r="G37" s="382" t="s">
        <v>423</v>
      </c>
      <c r="H37" s="382" t="s">
        <v>433</v>
      </c>
      <c r="I37" s="382" t="s">
        <v>434</v>
      </c>
      <c r="J37" s="391" t="s">
        <v>435</v>
      </c>
      <c r="K37" s="395">
        <v>1529.76</v>
      </c>
      <c r="L37" s="395">
        <v>1041.3984</v>
      </c>
      <c r="M37" s="395">
        <v>1041.3984</v>
      </c>
      <c r="N37" s="395"/>
      <c r="O37" s="395"/>
      <c r="P37" s="395"/>
      <c r="Q37" s="395">
        <v>488.36160000000001</v>
      </c>
      <c r="R37" s="395"/>
      <c r="S37" s="395">
        <v>488.36160000000001</v>
      </c>
      <c r="T37" s="395"/>
      <c r="U37" s="395"/>
      <c r="V37" s="399">
        <f t="shared" si="16"/>
        <v>0.6807593347976153</v>
      </c>
      <c r="W37" s="395">
        <v>691.45399999999995</v>
      </c>
      <c r="X37" s="395">
        <v>0</v>
      </c>
      <c r="Y37" s="395">
        <v>0</v>
      </c>
      <c r="Z37" s="390"/>
      <c r="AA37" s="390"/>
      <c r="AB37" s="678"/>
      <c r="AC37" s="384" t="s">
        <v>436</v>
      </c>
    </row>
    <row r="38" spans="1:29" ht="55.5" customHeight="1" x14ac:dyDescent="0.25">
      <c r="A38" s="382">
        <v>8</v>
      </c>
      <c r="B38" s="382" t="s">
        <v>437</v>
      </c>
      <c r="C38" s="382" t="s">
        <v>438</v>
      </c>
      <c r="D38" s="382" t="s">
        <v>439</v>
      </c>
      <c r="E38" s="382" t="s">
        <v>440</v>
      </c>
      <c r="F38" s="382" t="s">
        <v>441</v>
      </c>
      <c r="G38" s="382" t="s">
        <v>442</v>
      </c>
      <c r="H38" s="382" t="s">
        <v>299</v>
      </c>
      <c r="I38" s="382"/>
      <c r="J38" s="391" t="s">
        <v>443</v>
      </c>
      <c r="K38" s="395">
        <v>3552.0208259999999</v>
      </c>
      <c r="L38" s="395">
        <v>2818.4968260000001</v>
      </c>
      <c r="M38" s="395">
        <v>2788.3521300000002</v>
      </c>
      <c r="N38" s="395"/>
      <c r="O38" s="395">
        <v>30.144696</v>
      </c>
      <c r="P38" s="395"/>
      <c r="Q38" s="395">
        <v>733.524</v>
      </c>
      <c r="R38" s="395"/>
      <c r="S38" s="395">
        <v>733.524</v>
      </c>
      <c r="T38" s="395"/>
      <c r="U38" s="395"/>
      <c r="V38" s="399">
        <f t="shared" si="16"/>
        <v>0.79349107566296684</v>
      </c>
      <c r="W38" s="395">
        <v>972.73</v>
      </c>
      <c r="X38" s="395">
        <v>923.64309299999991</v>
      </c>
      <c r="Y38" s="395">
        <v>923.64309299999991</v>
      </c>
      <c r="Z38" s="390"/>
      <c r="AA38" s="390"/>
      <c r="AB38" s="392">
        <v>912.326594</v>
      </c>
      <c r="AC38" s="392"/>
    </row>
    <row r="39" spans="1:29" s="631" customFormat="1" ht="29.25" customHeight="1" x14ac:dyDescent="0.25">
      <c r="A39" s="667" t="s">
        <v>57</v>
      </c>
      <c r="B39" s="812" t="s">
        <v>444</v>
      </c>
      <c r="C39" s="812"/>
      <c r="D39" s="812"/>
      <c r="E39" s="667"/>
      <c r="F39" s="667"/>
      <c r="G39" s="667"/>
      <c r="H39" s="667"/>
      <c r="I39" s="667"/>
      <c r="J39" s="668"/>
      <c r="K39" s="669">
        <f>SUM(K40:K45)</f>
        <v>28942.618999999999</v>
      </c>
      <c r="L39" s="669">
        <f t="shared" ref="L39:AC39" si="17">SUM(L40:L45)</f>
        <v>22128.307408000001</v>
      </c>
      <c r="M39" s="669">
        <f t="shared" si="17"/>
        <v>0</v>
      </c>
      <c r="N39" s="669">
        <f t="shared" si="17"/>
        <v>0</v>
      </c>
      <c r="O39" s="669">
        <f t="shared" si="17"/>
        <v>0</v>
      </c>
      <c r="P39" s="669">
        <f t="shared" si="17"/>
        <v>0</v>
      </c>
      <c r="Q39" s="669">
        <f t="shared" si="17"/>
        <v>6814.311592</v>
      </c>
      <c r="R39" s="669">
        <f t="shared" si="17"/>
        <v>0</v>
      </c>
      <c r="S39" s="669">
        <f t="shared" si="17"/>
        <v>6814.311592</v>
      </c>
      <c r="T39" s="669">
        <f t="shared" si="17"/>
        <v>0</v>
      </c>
      <c r="U39" s="669">
        <f t="shared" si="17"/>
        <v>0</v>
      </c>
      <c r="V39" s="669"/>
      <c r="W39" s="669">
        <f t="shared" si="17"/>
        <v>9657.9716719999997</v>
      </c>
      <c r="X39" s="669">
        <f t="shared" si="17"/>
        <v>5992.1330680000001</v>
      </c>
      <c r="Y39" s="669">
        <f t="shared" si="17"/>
        <v>5992.1330680000001</v>
      </c>
      <c r="Z39" s="648">
        <f t="shared" si="17"/>
        <v>0</v>
      </c>
      <c r="AA39" s="648">
        <f t="shared" si="17"/>
        <v>0</v>
      </c>
      <c r="AB39" s="649">
        <f t="shared" si="17"/>
        <v>6478.2026679999999</v>
      </c>
      <c r="AC39" s="649">
        <f t="shared" si="17"/>
        <v>0</v>
      </c>
    </row>
    <row r="40" spans="1:29" ht="90" customHeight="1" x14ac:dyDescent="0.25">
      <c r="A40" s="654">
        <v>1</v>
      </c>
      <c r="B40" s="654" t="s">
        <v>445</v>
      </c>
      <c r="C40" s="382" t="s">
        <v>446</v>
      </c>
      <c r="D40" s="382" t="s">
        <v>447</v>
      </c>
      <c r="E40" s="382" t="s">
        <v>448</v>
      </c>
      <c r="F40" s="654" t="s">
        <v>449</v>
      </c>
      <c r="G40" s="654" t="s">
        <v>450</v>
      </c>
      <c r="H40" s="654" t="s">
        <v>299</v>
      </c>
      <c r="I40" s="654" t="s">
        <v>451</v>
      </c>
      <c r="J40" s="679" t="s">
        <v>452</v>
      </c>
      <c r="K40" s="680">
        <v>7264.0410000000002</v>
      </c>
      <c r="L40" s="680">
        <v>4997.6602080000002</v>
      </c>
      <c r="M40" s="680"/>
      <c r="N40" s="680"/>
      <c r="O40" s="680"/>
      <c r="P40" s="680"/>
      <c r="Q40" s="680">
        <f t="shared" ref="Q40:Q45" si="18">SUM(R40:U40)</f>
        <v>2266.3807919999999</v>
      </c>
      <c r="R40" s="680"/>
      <c r="S40" s="680">
        <v>2266.3807919999999</v>
      </c>
      <c r="T40" s="680">
        <v>0</v>
      </c>
      <c r="U40" s="680">
        <v>0</v>
      </c>
      <c r="V40" s="681">
        <f>L40/K40</f>
        <v>0.68800000000000006</v>
      </c>
      <c r="W40" s="680">
        <v>1772.662272</v>
      </c>
      <c r="X40" s="680">
        <f t="shared" ref="X40:X45" si="19">SUM(Y40:AA40)</f>
        <v>1612.4989680000001</v>
      </c>
      <c r="Y40" s="680">
        <v>1612.4989680000001</v>
      </c>
      <c r="Z40" s="682"/>
      <c r="AA40" s="682"/>
      <c r="AB40" s="683">
        <f t="shared" ref="AB40:AB45" si="20">L40-W40-X40</f>
        <v>1612.4989680000001</v>
      </c>
      <c r="AC40" s="683"/>
    </row>
    <row r="41" spans="1:29" ht="90.75" customHeight="1" x14ac:dyDescent="0.25">
      <c r="A41" s="654">
        <v>2</v>
      </c>
      <c r="B41" s="654" t="s">
        <v>453</v>
      </c>
      <c r="C41" s="382" t="s">
        <v>454</v>
      </c>
      <c r="D41" s="382" t="s">
        <v>455</v>
      </c>
      <c r="E41" s="382" t="s">
        <v>342</v>
      </c>
      <c r="F41" s="654" t="s">
        <v>456</v>
      </c>
      <c r="G41" s="654" t="s">
        <v>457</v>
      </c>
      <c r="H41" s="654" t="s">
        <v>299</v>
      </c>
      <c r="I41" s="654" t="s">
        <v>458</v>
      </c>
      <c r="J41" s="679" t="s">
        <v>452</v>
      </c>
      <c r="K41" s="680">
        <v>5171.2</v>
      </c>
      <c r="L41" s="680">
        <v>4142.96</v>
      </c>
      <c r="M41" s="680"/>
      <c r="N41" s="680"/>
      <c r="O41" s="680"/>
      <c r="P41" s="680"/>
      <c r="Q41" s="680">
        <f t="shared" si="18"/>
        <v>1028.24</v>
      </c>
      <c r="R41" s="680"/>
      <c r="S41" s="680">
        <v>1028.24</v>
      </c>
      <c r="T41" s="680"/>
      <c r="U41" s="680"/>
      <c r="V41" s="681">
        <f t="shared" ref="V41:V45" si="21">L41/K41</f>
        <v>0.80116027227722775</v>
      </c>
      <c r="W41" s="680">
        <v>1441.08</v>
      </c>
      <c r="X41" s="680">
        <f t="shared" si="19"/>
        <v>1347.94</v>
      </c>
      <c r="Y41" s="680">
        <v>1347.94</v>
      </c>
      <c r="Z41" s="682"/>
      <c r="AA41" s="682"/>
      <c r="AB41" s="682">
        <f t="shared" si="20"/>
        <v>1353.94</v>
      </c>
      <c r="AC41" s="682"/>
    </row>
    <row r="42" spans="1:29" ht="90" customHeight="1" x14ac:dyDescent="0.25">
      <c r="A42" s="654">
        <v>3</v>
      </c>
      <c r="B42" s="654" t="s">
        <v>459</v>
      </c>
      <c r="C42" s="382" t="s">
        <v>460</v>
      </c>
      <c r="D42" s="382" t="s">
        <v>461</v>
      </c>
      <c r="E42" s="382" t="s">
        <v>462</v>
      </c>
      <c r="F42" s="654" t="s">
        <v>463</v>
      </c>
      <c r="G42" s="654" t="s">
        <v>464</v>
      </c>
      <c r="H42" s="654" t="s">
        <v>299</v>
      </c>
      <c r="I42" s="654" t="s">
        <v>465</v>
      </c>
      <c r="J42" s="679" t="s">
        <v>452</v>
      </c>
      <c r="K42" s="680">
        <v>5468.0119999999997</v>
      </c>
      <c r="L42" s="680">
        <v>4374.4096</v>
      </c>
      <c r="M42" s="680"/>
      <c r="N42" s="680"/>
      <c r="O42" s="680"/>
      <c r="P42" s="680"/>
      <c r="Q42" s="680">
        <f t="shared" si="18"/>
        <v>1093.6024</v>
      </c>
      <c r="R42" s="680"/>
      <c r="S42" s="680">
        <v>1093.6024</v>
      </c>
      <c r="T42" s="680"/>
      <c r="U42" s="680"/>
      <c r="V42" s="681">
        <f t="shared" si="21"/>
        <v>0.8</v>
      </c>
      <c r="W42" s="680">
        <v>2256.9904000000001</v>
      </c>
      <c r="X42" s="680">
        <f t="shared" si="19"/>
        <v>824.84159999999997</v>
      </c>
      <c r="Y42" s="680">
        <v>824.84159999999997</v>
      </c>
      <c r="Z42" s="682"/>
      <c r="AA42" s="682"/>
      <c r="AB42" s="682">
        <f t="shared" si="20"/>
        <v>1292.5775999999998</v>
      </c>
      <c r="AC42" s="682"/>
    </row>
    <row r="43" spans="1:29" ht="90.75" customHeight="1" x14ac:dyDescent="0.25">
      <c r="A43" s="654">
        <v>4</v>
      </c>
      <c r="B43" s="654" t="s">
        <v>459</v>
      </c>
      <c r="C43" s="382" t="s">
        <v>466</v>
      </c>
      <c r="D43" s="382" t="s">
        <v>461</v>
      </c>
      <c r="E43" s="382" t="s">
        <v>467</v>
      </c>
      <c r="F43" s="654" t="s">
        <v>468</v>
      </c>
      <c r="G43" s="654" t="s">
        <v>464</v>
      </c>
      <c r="H43" s="654" t="s">
        <v>299</v>
      </c>
      <c r="I43" s="654" t="s">
        <v>469</v>
      </c>
      <c r="J43" s="679" t="s">
        <v>452</v>
      </c>
      <c r="K43" s="680">
        <v>5051.9350000000004</v>
      </c>
      <c r="L43" s="680">
        <v>4003.1116000000002</v>
      </c>
      <c r="M43" s="680"/>
      <c r="N43" s="680"/>
      <c r="O43" s="680"/>
      <c r="P43" s="680"/>
      <c r="Q43" s="680">
        <f t="shared" si="18"/>
        <v>1048.8234</v>
      </c>
      <c r="R43" s="680"/>
      <c r="S43" s="680">
        <v>1048.8234</v>
      </c>
      <c r="T43" s="680"/>
      <c r="U43" s="680"/>
      <c r="V43" s="681">
        <f>L43/K43</f>
        <v>0.79239174692469316</v>
      </c>
      <c r="W43" s="680">
        <v>2486.058</v>
      </c>
      <c r="X43" s="680">
        <f t="shared" si="19"/>
        <v>712.76</v>
      </c>
      <c r="Y43" s="680">
        <v>712.76</v>
      </c>
      <c r="Z43" s="682"/>
      <c r="AA43" s="682"/>
      <c r="AB43" s="682">
        <f t="shared" si="20"/>
        <v>804.2936000000002</v>
      </c>
      <c r="AC43" s="682"/>
    </row>
    <row r="44" spans="1:29" ht="90.75" customHeight="1" x14ac:dyDescent="0.25">
      <c r="A44" s="654">
        <v>5</v>
      </c>
      <c r="B44" s="654" t="s">
        <v>453</v>
      </c>
      <c r="C44" s="382" t="s">
        <v>470</v>
      </c>
      <c r="D44" s="382" t="s">
        <v>471</v>
      </c>
      <c r="E44" s="382" t="s">
        <v>342</v>
      </c>
      <c r="F44" s="654" t="s">
        <v>456</v>
      </c>
      <c r="G44" s="654" t="s">
        <v>472</v>
      </c>
      <c r="H44" s="654" t="s">
        <v>299</v>
      </c>
      <c r="I44" s="654" t="s">
        <v>473</v>
      </c>
      <c r="J44" s="679" t="s">
        <v>452</v>
      </c>
      <c r="K44" s="680">
        <v>5196.3149999999996</v>
      </c>
      <c r="L44" s="680">
        <v>4111.5600000000004</v>
      </c>
      <c r="M44" s="680"/>
      <c r="N44" s="680"/>
      <c r="O44" s="680"/>
      <c r="P44" s="680"/>
      <c r="Q44" s="680">
        <f t="shared" si="18"/>
        <v>1084.7550000000001</v>
      </c>
      <c r="R44" s="680"/>
      <c r="S44" s="680">
        <v>1084.7550000000001</v>
      </c>
      <c r="T44" s="680"/>
      <c r="U44" s="680"/>
      <c r="V44" s="681">
        <f t="shared" si="21"/>
        <v>0.79124533443411349</v>
      </c>
      <c r="W44" s="680">
        <v>1373.7149999999999</v>
      </c>
      <c r="X44" s="680">
        <f t="shared" si="19"/>
        <v>1408.5225</v>
      </c>
      <c r="Y44" s="680">
        <v>1408.5225</v>
      </c>
      <c r="Z44" s="682"/>
      <c r="AA44" s="682"/>
      <c r="AB44" s="682">
        <f t="shared" si="20"/>
        <v>1329.3225000000002</v>
      </c>
      <c r="AC44" s="682"/>
    </row>
    <row r="45" spans="1:29" ht="91.5" customHeight="1" x14ac:dyDescent="0.25">
      <c r="A45" s="654">
        <v>6</v>
      </c>
      <c r="B45" s="654" t="s">
        <v>459</v>
      </c>
      <c r="C45" s="382" t="s">
        <v>474</v>
      </c>
      <c r="D45" s="382" t="s">
        <v>461</v>
      </c>
      <c r="E45" s="382" t="s">
        <v>475</v>
      </c>
      <c r="F45" s="654" t="s">
        <v>476</v>
      </c>
      <c r="G45" s="654" t="s">
        <v>464</v>
      </c>
      <c r="H45" s="654"/>
      <c r="I45" s="654" t="s">
        <v>477</v>
      </c>
      <c r="J45" s="679" t="s">
        <v>452</v>
      </c>
      <c r="K45" s="680">
        <v>791.11599999999999</v>
      </c>
      <c r="L45" s="680">
        <v>498.60599999999999</v>
      </c>
      <c r="M45" s="680"/>
      <c r="N45" s="680"/>
      <c r="O45" s="680"/>
      <c r="P45" s="680"/>
      <c r="Q45" s="680">
        <f t="shared" si="18"/>
        <v>292.51</v>
      </c>
      <c r="R45" s="680"/>
      <c r="S45" s="680">
        <v>292.51</v>
      </c>
      <c r="T45" s="680"/>
      <c r="U45" s="680"/>
      <c r="V45" s="681">
        <f t="shared" si="21"/>
        <v>0.63025649841489739</v>
      </c>
      <c r="W45" s="680">
        <v>327.46600000000001</v>
      </c>
      <c r="X45" s="680">
        <f t="shared" si="19"/>
        <v>85.57</v>
      </c>
      <c r="Y45" s="680">
        <v>85.57</v>
      </c>
      <c r="Z45" s="682"/>
      <c r="AA45" s="682"/>
      <c r="AB45" s="684">
        <f t="shared" si="20"/>
        <v>85.57</v>
      </c>
      <c r="AC45" s="684"/>
    </row>
    <row r="46" spans="1:29" s="631" customFormat="1" ht="29.25" customHeight="1" x14ac:dyDescent="0.25">
      <c r="A46" s="667" t="s">
        <v>478</v>
      </c>
      <c r="B46" s="812" t="s">
        <v>479</v>
      </c>
      <c r="C46" s="812"/>
      <c r="D46" s="812"/>
      <c r="E46" s="667"/>
      <c r="F46" s="667"/>
      <c r="G46" s="667"/>
      <c r="H46" s="667"/>
      <c r="I46" s="667"/>
      <c r="J46" s="668"/>
      <c r="K46" s="669">
        <f>SUM(K47:K48)</f>
        <v>3717.4153999999999</v>
      </c>
      <c r="L46" s="669">
        <f t="shared" ref="L46:Y46" si="22">SUM(L47:L48)</f>
        <v>2248.9454000000001</v>
      </c>
      <c r="M46" s="669">
        <f t="shared" si="22"/>
        <v>0</v>
      </c>
      <c r="N46" s="669">
        <f t="shared" si="22"/>
        <v>0</v>
      </c>
      <c r="O46" s="669">
        <f t="shared" si="22"/>
        <v>0</v>
      </c>
      <c r="P46" s="669">
        <f t="shared" si="22"/>
        <v>0</v>
      </c>
      <c r="Q46" s="669">
        <f t="shared" si="22"/>
        <v>1468.74</v>
      </c>
      <c r="R46" s="669">
        <f t="shared" si="22"/>
        <v>0</v>
      </c>
      <c r="S46" s="669">
        <f t="shared" si="22"/>
        <v>1468.74</v>
      </c>
      <c r="T46" s="669">
        <f t="shared" si="22"/>
        <v>0</v>
      </c>
      <c r="U46" s="669">
        <f t="shared" si="22"/>
        <v>0</v>
      </c>
      <c r="V46" s="669"/>
      <c r="W46" s="669">
        <f t="shared" si="22"/>
        <v>1509.6790000000001</v>
      </c>
      <c r="X46" s="669">
        <f t="shared" si="22"/>
        <v>584.41</v>
      </c>
      <c r="Y46" s="669">
        <f t="shared" si="22"/>
        <v>584.41</v>
      </c>
      <c r="Z46" s="648">
        <f t="shared" ref="Z46:AB46" si="23">SUM(Z47:Z48)</f>
        <v>0</v>
      </c>
      <c r="AA46" s="648">
        <f t="shared" si="23"/>
        <v>0</v>
      </c>
      <c r="AB46" s="649">
        <f t="shared" si="23"/>
        <v>154.85</v>
      </c>
      <c r="AC46" s="649"/>
    </row>
    <row r="47" spans="1:29" ht="141.75" customHeight="1" x14ac:dyDescent="0.25">
      <c r="A47" s="685">
        <v>1</v>
      </c>
      <c r="B47" s="685" t="s">
        <v>480</v>
      </c>
      <c r="C47" s="685" t="s">
        <v>481</v>
      </c>
      <c r="D47" s="686" t="s">
        <v>482</v>
      </c>
      <c r="E47" s="685" t="s">
        <v>483</v>
      </c>
      <c r="F47" s="685" t="s">
        <v>484</v>
      </c>
      <c r="G47" s="685" t="s">
        <v>485</v>
      </c>
      <c r="H47" s="685" t="s">
        <v>486</v>
      </c>
      <c r="I47" s="685" t="s">
        <v>487</v>
      </c>
      <c r="J47" s="685" t="s">
        <v>488</v>
      </c>
      <c r="K47" s="680">
        <v>1274.9454000000001</v>
      </c>
      <c r="L47" s="680">
        <v>949.44539999999995</v>
      </c>
      <c r="M47" s="680"/>
      <c r="N47" s="680"/>
      <c r="O47" s="680"/>
      <c r="P47" s="680"/>
      <c r="Q47" s="680">
        <v>325.5</v>
      </c>
      <c r="R47" s="680"/>
      <c r="S47" s="680">
        <v>325.5</v>
      </c>
      <c r="T47" s="680"/>
      <c r="U47" s="680"/>
      <c r="V47" s="681">
        <f>L47/K47</f>
        <v>0.74469494928959301</v>
      </c>
      <c r="W47" s="680">
        <v>639.74</v>
      </c>
      <c r="X47" s="680">
        <f>Y47</f>
        <v>154.85</v>
      </c>
      <c r="Y47" s="680">
        <v>154.85</v>
      </c>
      <c r="Z47" s="687"/>
      <c r="AA47" s="687"/>
      <c r="AB47" s="683">
        <v>154.85</v>
      </c>
      <c r="AC47" s="688"/>
    </row>
    <row r="48" spans="1:29" ht="108" customHeight="1" x14ac:dyDescent="0.25">
      <c r="A48" s="685">
        <v>2</v>
      </c>
      <c r="B48" s="685" t="s">
        <v>489</v>
      </c>
      <c r="C48" s="685" t="s">
        <v>490</v>
      </c>
      <c r="D48" s="686" t="s">
        <v>491</v>
      </c>
      <c r="E48" s="686" t="s">
        <v>492</v>
      </c>
      <c r="F48" s="689" t="s">
        <v>493</v>
      </c>
      <c r="G48" s="685" t="s">
        <v>494</v>
      </c>
      <c r="H48" s="685" t="s">
        <v>495</v>
      </c>
      <c r="I48" s="685">
        <v>2398</v>
      </c>
      <c r="J48" s="685" t="s">
        <v>496</v>
      </c>
      <c r="K48" s="690">
        <v>2442.4699999999998</v>
      </c>
      <c r="L48" s="690">
        <v>1299.5</v>
      </c>
      <c r="M48" s="396"/>
      <c r="N48" s="396"/>
      <c r="O48" s="680"/>
      <c r="P48" s="680"/>
      <c r="Q48" s="690">
        <v>1143.24</v>
      </c>
      <c r="R48" s="680"/>
      <c r="S48" s="690">
        <v>1143.24</v>
      </c>
      <c r="T48" s="680"/>
      <c r="U48" s="680"/>
      <c r="V48" s="681">
        <f>L48/K48</f>
        <v>0.53204338231380532</v>
      </c>
      <c r="W48" s="691">
        <v>869.93899999999996</v>
      </c>
      <c r="X48" s="690">
        <f>Y48</f>
        <v>429.56</v>
      </c>
      <c r="Y48" s="680">
        <v>429.56</v>
      </c>
      <c r="Z48" s="687"/>
      <c r="AA48" s="687"/>
      <c r="AB48" s="692">
        <v>0</v>
      </c>
      <c r="AC48" s="693"/>
    </row>
    <row r="49" spans="1:29" s="631" customFormat="1" ht="29.25" customHeight="1" x14ac:dyDescent="0.25">
      <c r="A49" s="667" t="s">
        <v>497</v>
      </c>
      <c r="B49" s="812" t="s">
        <v>498</v>
      </c>
      <c r="C49" s="812"/>
      <c r="D49" s="812"/>
      <c r="E49" s="694"/>
      <c r="F49" s="694"/>
      <c r="G49" s="694"/>
      <c r="H49" s="694"/>
      <c r="I49" s="694"/>
      <c r="J49" s="694"/>
      <c r="K49" s="669">
        <f>SUM(K50:K57)</f>
        <v>29698.021017000003</v>
      </c>
      <c r="L49" s="669">
        <f t="shared" ref="L49:Y49" si="24">SUM(L50:L57)</f>
        <v>21803.542641</v>
      </c>
      <c r="M49" s="669">
        <f t="shared" si="24"/>
        <v>19324.479842718301</v>
      </c>
      <c r="N49" s="669">
        <f t="shared" si="24"/>
        <v>2479.0627982816995</v>
      </c>
      <c r="O49" s="669">
        <f t="shared" si="24"/>
        <v>0</v>
      </c>
      <c r="P49" s="669">
        <f t="shared" si="24"/>
        <v>0</v>
      </c>
      <c r="Q49" s="669">
        <f t="shared" si="24"/>
        <v>7894.478376</v>
      </c>
      <c r="R49" s="669">
        <f t="shared" si="24"/>
        <v>0</v>
      </c>
      <c r="S49" s="669">
        <f t="shared" si="24"/>
        <v>7894.478376</v>
      </c>
      <c r="T49" s="669">
        <f t="shared" si="24"/>
        <v>0</v>
      </c>
      <c r="U49" s="669">
        <f t="shared" si="24"/>
        <v>0</v>
      </c>
      <c r="V49" s="669"/>
      <c r="W49" s="669">
        <f t="shared" si="24"/>
        <v>9497.9998350000005</v>
      </c>
      <c r="X49" s="669">
        <f t="shared" si="24"/>
        <v>8478.3358059999991</v>
      </c>
      <c r="Y49" s="669">
        <f t="shared" si="24"/>
        <v>8478.3358059999991</v>
      </c>
      <c r="Z49" s="695">
        <f t="shared" ref="Z49:AB49" si="25">SUM(Z50:Z57)</f>
        <v>0</v>
      </c>
      <c r="AA49" s="695">
        <f t="shared" si="25"/>
        <v>0</v>
      </c>
      <c r="AB49" s="696">
        <f t="shared" si="25"/>
        <v>4991.3494000000001</v>
      </c>
      <c r="AC49" s="649"/>
    </row>
    <row r="50" spans="1:29" s="703" customFormat="1" ht="80.25" customHeight="1" x14ac:dyDescent="0.25">
      <c r="A50" s="697">
        <v>1</v>
      </c>
      <c r="B50" s="697" t="s">
        <v>499</v>
      </c>
      <c r="C50" s="697" t="s">
        <v>500</v>
      </c>
      <c r="D50" s="697" t="s">
        <v>501</v>
      </c>
      <c r="E50" s="698" t="s">
        <v>502</v>
      </c>
      <c r="F50" s="697" t="s">
        <v>503</v>
      </c>
      <c r="G50" s="697" t="s">
        <v>501</v>
      </c>
      <c r="H50" s="697" t="s">
        <v>323</v>
      </c>
      <c r="I50" s="697" t="s">
        <v>504</v>
      </c>
      <c r="J50" s="697" t="s">
        <v>505</v>
      </c>
      <c r="K50" s="699">
        <v>3037.97462</v>
      </c>
      <c r="L50" s="699">
        <v>1826.47462</v>
      </c>
      <c r="M50" s="699">
        <f t="shared" ref="M50:M57" si="26">L50*88.63%</f>
        <v>1618.804455706</v>
      </c>
      <c r="N50" s="699">
        <f>L50-M50</f>
        <v>207.67016429399996</v>
      </c>
      <c r="O50" s="699"/>
      <c r="P50" s="699"/>
      <c r="Q50" s="699">
        <v>1211.5</v>
      </c>
      <c r="R50" s="699"/>
      <c r="S50" s="699">
        <f>Q50</f>
        <v>1211.5</v>
      </c>
      <c r="T50" s="699"/>
      <c r="U50" s="699"/>
      <c r="V50" s="681">
        <f>L50/K50</f>
        <v>0.60121457499207154</v>
      </c>
      <c r="W50" s="699">
        <f>502.843848+681.765386</f>
        <v>1184.609234</v>
      </c>
      <c r="X50" s="699">
        <f>+Y50+Z50+AA50</f>
        <v>641.86538599999994</v>
      </c>
      <c r="Y50" s="699">
        <v>641.86538599999994</v>
      </c>
      <c r="Z50" s="700"/>
      <c r="AA50" s="700"/>
      <c r="AB50" s="701"/>
      <c r="AC50" s="702"/>
    </row>
    <row r="51" spans="1:29" s="703" customFormat="1" ht="78.75" customHeight="1" x14ac:dyDescent="0.25">
      <c r="A51" s="697">
        <v>2</v>
      </c>
      <c r="B51" s="697" t="s">
        <v>499</v>
      </c>
      <c r="C51" s="697" t="s">
        <v>506</v>
      </c>
      <c r="D51" s="697" t="s">
        <v>501</v>
      </c>
      <c r="E51" s="698" t="s">
        <v>507</v>
      </c>
      <c r="F51" s="697" t="s">
        <v>508</v>
      </c>
      <c r="G51" s="697" t="s">
        <v>509</v>
      </c>
      <c r="H51" s="697" t="s">
        <v>510</v>
      </c>
      <c r="I51" s="697" t="s">
        <v>511</v>
      </c>
      <c r="J51" s="697" t="s">
        <v>512</v>
      </c>
      <c r="K51" s="699">
        <v>5561.9335970000002</v>
      </c>
      <c r="L51" s="699">
        <v>4393.5622210000001</v>
      </c>
      <c r="M51" s="699">
        <f t="shared" si="26"/>
        <v>3894.0141964723002</v>
      </c>
      <c r="N51" s="699">
        <f>L51-M51</f>
        <v>499.54802452769991</v>
      </c>
      <c r="O51" s="699"/>
      <c r="P51" s="699"/>
      <c r="Q51" s="699">
        <v>1168.3713760000001</v>
      </c>
      <c r="R51" s="699"/>
      <c r="S51" s="699">
        <f>Q51</f>
        <v>1168.3713760000001</v>
      </c>
      <c r="T51" s="699"/>
      <c r="U51" s="699"/>
      <c r="V51" s="681">
        <f t="shared" ref="V51:V57" si="27">L51/K51</f>
        <v>0.78993431769300571</v>
      </c>
      <c r="W51" s="699">
        <v>3126.3906010000001</v>
      </c>
      <c r="X51" s="699">
        <f>+Y51+Z51+AA51</f>
        <v>1242.8716199999999</v>
      </c>
      <c r="Y51" s="699">
        <v>1242.8716199999999</v>
      </c>
      <c r="Z51" s="700"/>
      <c r="AA51" s="700"/>
      <c r="AB51" s="701"/>
      <c r="AC51" s="704"/>
    </row>
    <row r="52" spans="1:29" s="703" customFormat="1" ht="76.5" customHeight="1" x14ac:dyDescent="0.25">
      <c r="A52" s="697">
        <v>3</v>
      </c>
      <c r="B52" s="697" t="s">
        <v>499</v>
      </c>
      <c r="C52" s="697" t="s">
        <v>513</v>
      </c>
      <c r="D52" s="697" t="s">
        <v>514</v>
      </c>
      <c r="E52" s="698" t="s">
        <v>515</v>
      </c>
      <c r="F52" s="697" t="s">
        <v>516</v>
      </c>
      <c r="G52" s="697" t="s">
        <v>517</v>
      </c>
      <c r="H52" s="697" t="s">
        <v>510</v>
      </c>
      <c r="I52" s="697" t="s">
        <v>518</v>
      </c>
      <c r="J52" s="697" t="s">
        <v>519</v>
      </c>
      <c r="K52" s="699">
        <v>2905.1750000000002</v>
      </c>
      <c r="L52" s="699">
        <v>1792.175</v>
      </c>
      <c r="M52" s="699">
        <f t="shared" si="26"/>
        <v>1588.4047025</v>
      </c>
      <c r="N52" s="699">
        <f>L52-M52</f>
        <v>203.77029749999997</v>
      </c>
      <c r="O52" s="699"/>
      <c r="P52" s="699"/>
      <c r="Q52" s="699">
        <v>1113</v>
      </c>
      <c r="R52" s="699"/>
      <c r="S52" s="699">
        <f>Q52</f>
        <v>1113</v>
      </c>
      <c r="T52" s="699"/>
      <c r="U52" s="699"/>
      <c r="V52" s="681">
        <f t="shared" si="27"/>
        <v>0.61689054876212268</v>
      </c>
      <c r="W52" s="699">
        <f>499.5+712.5</f>
        <v>1212</v>
      </c>
      <c r="X52" s="699">
        <f>+Y52+Z52+AA52</f>
        <v>562.5</v>
      </c>
      <c r="Y52" s="699">
        <v>562.5</v>
      </c>
      <c r="Z52" s="700"/>
      <c r="AA52" s="700"/>
      <c r="AB52" s="701"/>
      <c r="AC52" s="702"/>
    </row>
    <row r="53" spans="1:29" s="703" customFormat="1" ht="60" customHeight="1" x14ac:dyDescent="0.25">
      <c r="A53" s="697">
        <v>4</v>
      </c>
      <c r="B53" s="697" t="s">
        <v>499</v>
      </c>
      <c r="C53" s="697" t="s">
        <v>506</v>
      </c>
      <c r="D53" s="697" t="s">
        <v>501</v>
      </c>
      <c r="E53" s="698" t="s">
        <v>520</v>
      </c>
      <c r="F53" s="697">
        <v>101</v>
      </c>
      <c r="G53" s="697" t="s">
        <v>521</v>
      </c>
      <c r="H53" s="697" t="s">
        <v>522</v>
      </c>
      <c r="I53" s="697" t="s">
        <v>523</v>
      </c>
      <c r="J53" s="697" t="s">
        <v>512</v>
      </c>
      <c r="K53" s="699">
        <v>3187.8229999999999</v>
      </c>
      <c r="L53" s="699">
        <v>2550</v>
      </c>
      <c r="M53" s="699">
        <f t="shared" si="26"/>
        <v>2260.0650000000001</v>
      </c>
      <c r="N53" s="699">
        <f>L53*11.37%</f>
        <v>289.935</v>
      </c>
      <c r="O53" s="699"/>
      <c r="P53" s="699"/>
      <c r="Q53" s="699">
        <f>S53</f>
        <v>637.82299999999998</v>
      </c>
      <c r="R53" s="699"/>
      <c r="S53" s="699">
        <v>637.82299999999998</v>
      </c>
      <c r="T53" s="699"/>
      <c r="U53" s="699"/>
      <c r="V53" s="681">
        <f t="shared" si="27"/>
        <v>0.79991894154725662</v>
      </c>
      <c r="W53" s="699">
        <v>825</v>
      </c>
      <c r="X53" s="699">
        <f>+Y53+Z53+AA53</f>
        <v>850</v>
      </c>
      <c r="Y53" s="699">
        <v>850</v>
      </c>
      <c r="Z53" s="700"/>
      <c r="AA53" s="700"/>
      <c r="AB53" s="701">
        <v>850</v>
      </c>
      <c r="AC53" s="704"/>
    </row>
    <row r="54" spans="1:29" s="703" customFormat="1" ht="75.75" customHeight="1" x14ac:dyDescent="0.25">
      <c r="A54" s="697">
        <v>5</v>
      </c>
      <c r="B54" s="697" t="s">
        <v>499</v>
      </c>
      <c r="C54" s="697" t="s">
        <v>524</v>
      </c>
      <c r="D54" s="697" t="s">
        <v>525</v>
      </c>
      <c r="E54" s="698" t="s">
        <v>526</v>
      </c>
      <c r="F54" s="697"/>
      <c r="G54" s="697" t="s">
        <v>527</v>
      </c>
      <c r="H54" s="697" t="s">
        <v>510</v>
      </c>
      <c r="I54" s="697" t="s">
        <v>523</v>
      </c>
      <c r="J54" s="697" t="s">
        <v>512</v>
      </c>
      <c r="K54" s="699">
        <v>4368</v>
      </c>
      <c r="L54" s="699">
        <v>3454.8</v>
      </c>
      <c r="M54" s="699">
        <f t="shared" si="26"/>
        <v>3061.9892399999999</v>
      </c>
      <c r="N54" s="699">
        <f>L54*11.37%</f>
        <v>392.81076000000002</v>
      </c>
      <c r="O54" s="699"/>
      <c r="P54" s="699"/>
      <c r="Q54" s="699">
        <f>S54</f>
        <v>913.2</v>
      </c>
      <c r="R54" s="699"/>
      <c r="S54" s="699">
        <v>913.2</v>
      </c>
      <c r="T54" s="699"/>
      <c r="U54" s="699"/>
      <c r="V54" s="681">
        <f t="shared" si="27"/>
        <v>0.79093406593406601</v>
      </c>
      <c r="W54" s="699">
        <v>1200</v>
      </c>
      <c r="X54" s="699">
        <f>+Y54+Z54+AA54</f>
        <v>1151.5999999999999</v>
      </c>
      <c r="Y54" s="699">
        <v>1151.5999999999999</v>
      </c>
      <c r="Z54" s="700"/>
      <c r="AA54" s="700"/>
      <c r="AB54" s="701">
        <v>1151.5999999999999</v>
      </c>
      <c r="AC54" s="704"/>
    </row>
    <row r="55" spans="1:29" s="703" customFormat="1" ht="95.25" customHeight="1" x14ac:dyDescent="0.25">
      <c r="A55" s="697">
        <v>6</v>
      </c>
      <c r="B55" s="697" t="s">
        <v>499</v>
      </c>
      <c r="C55" s="697" t="s">
        <v>528</v>
      </c>
      <c r="D55" s="697" t="s">
        <v>529</v>
      </c>
      <c r="E55" s="698" t="s">
        <v>530</v>
      </c>
      <c r="F55" s="697" t="s">
        <v>531</v>
      </c>
      <c r="G55" s="697" t="s">
        <v>532</v>
      </c>
      <c r="H55" s="697" t="s">
        <v>299</v>
      </c>
      <c r="I55" s="697" t="s">
        <v>523</v>
      </c>
      <c r="J55" s="697" t="s">
        <v>512</v>
      </c>
      <c r="K55" s="699">
        <v>1874.97</v>
      </c>
      <c r="L55" s="699">
        <v>1500</v>
      </c>
      <c r="M55" s="699">
        <f t="shared" si="26"/>
        <v>1329.45</v>
      </c>
      <c r="N55" s="699">
        <f>L55*11.37%</f>
        <v>170.54999999999998</v>
      </c>
      <c r="O55" s="699"/>
      <c r="P55" s="699"/>
      <c r="Q55" s="699">
        <f>S55</f>
        <v>374.97</v>
      </c>
      <c r="R55" s="699"/>
      <c r="S55" s="699">
        <v>374.97</v>
      </c>
      <c r="T55" s="699"/>
      <c r="U55" s="699"/>
      <c r="V55" s="681">
        <f t="shared" si="27"/>
        <v>0.80001280020480325</v>
      </c>
      <c r="W55" s="699">
        <v>500</v>
      </c>
      <c r="X55" s="699">
        <f>+Y55</f>
        <v>500</v>
      </c>
      <c r="Y55" s="699">
        <v>500</v>
      </c>
      <c r="Z55" s="700"/>
      <c r="AA55" s="700"/>
      <c r="AB55" s="701">
        <v>500</v>
      </c>
      <c r="AC55" s="704"/>
    </row>
    <row r="56" spans="1:29" s="703" customFormat="1" ht="76.5" customHeight="1" x14ac:dyDescent="0.25">
      <c r="A56" s="697">
        <v>7</v>
      </c>
      <c r="B56" s="697" t="s">
        <v>499</v>
      </c>
      <c r="C56" s="697" t="s">
        <v>533</v>
      </c>
      <c r="D56" s="697"/>
      <c r="E56" s="698" t="s">
        <v>534</v>
      </c>
      <c r="F56" s="697" t="s">
        <v>535</v>
      </c>
      <c r="G56" s="697" t="s">
        <v>536</v>
      </c>
      <c r="H56" s="697" t="s">
        <v>510</v>
      </c>
      <c r="I56" s="697" t="s">
        <v>523</v>
      </c>
      <c r="J56" s="697" t="s">
        <v>512</v>
      </c>
      <c r="K56" s="699">
        <v>4237.5739999999996</v>
      </c>
      <c r="L56" s="699">
        <v>2759.732</v>
      </c>
      <c r="M56" s="699">
        <f t="shared" si="26"/>
        <v>2445.9504716000001</v>
      </c>
      <c r="N56" s="699">
        <f>L56*11.37%</f>
        <v>313.78152839999996</v>
      </c>
      <c r="O56" s="699"/>
      <c r="P56" s="699"/>
      <c r="Q56" s="699">
        <f>S56</f>
        <v>1477.8420000000001</v>
      </c>
      <c r="R56" s="699"/>
      <c r="S56" s="699">
        <v>1477.8420000000001</v>
      </c>
      <c r="T56" s="699"/>
      <c r="U56" s="699"/>
      <c r="V56" s="681">
        <f t="shared" si="27"/>
        <v>0.65125281588002948</v>
      </c>
      <c r="W56" s="699">
        <v>950</v>
      </c>
      <c r="X56" s="699">
        <f>+Y56</f>
        <v>950</v>
      </c>
      <c r="Y56" s="699">
        <v>950</v>
      </c>
      <c r="Z56" s="700"/>
      <c r="AA56" s="700"/>
      <c r="AB56" s="701">
        <v>950</v>
      </c>
      <c r="AC56" s="704"/>
    </row>
    <row r="57" spans="1:29" s="703" customFormat="1" ht="62.25" customHeight="1" x14ac:dyDescent="0.25">
      <c r="A57" s="705">
        <v>8</v>
      </c>
      <c r="B57" s="705" t="s">
        <v>499</v>
      </c>
      <c r="C57" s="705" t="s">
        <v>537</v>
      </c>
      <c r="D57" s="706"/>
      <c r="E57" s="707" t="s">
        <v>538</v>
      </c>
      <c r="F57" s="708" t="s">
        <v>539</v>
      </c>
      <c r="G57" s="705" t="s">
        <v>540</v>
      </c>
      <c r="H57" s="705" t="s">
        <v>510</v>
      </c>
      <c r="I57" s="705" t="s">
        <v>523</v>
      </c>
      <c r="J57" s="705" t="s">
        <v>512</v>
      </c>
      <c r="K57" s="398">
        <v>4524.5708000000004</v>
      </c>
      <c r="L57" s="398">
        <v>3526.7988</v>
      </c>
      <c r="M57" s="709">
        <f t="shared" si="26"/>
        <v>3125.8017764400001</v>
      </c>
      <c r="N57" s="709">
        <f>L57*11.37%</f>
        <v>400.99702356</v>
      </c>
      <c r="O57" s="398"/>
      <c r="P57" s="398"/>
      <c r="Q57" s="709">
        <f>S57</f>
        <v>997.77200000000005</v>
      </c>
      <c r="R57" s="398"/>
      <c r="S57" s="398">
        <v>997.77200000000005</v>
      </c>
      <c r="T57" s="398"/>
      <c r="U57" s="398"/>
      <c r="V57" s="710">
        <f t="shared" si="27"/>
        <v>0.77947698376164198</v>
      </c>
      <c r="W57" s="398">
        <v>500</v>
      </c>
      <c r="X57" s="398">
        <f>+Y57</f>
        <v>2579.4987999999998</v>
      </c>
      <c r="Y57" s="711">
        <v>2579.4987999999998</v>
      </c>
      <c r="Z57" s="712"/>
      <c r="AA57" s="712"/>
      <c r="AB57" s="704">
        <v>1539.7493999999999</v>
      </c>
      <c r="AC57" s="713"/>
    </row>
  </sheetData>
  <mergeCells count="36">
    <mergeCell ref="A9:J9"/>
    <mergeCell ref="B46:D46"/>
    <mergeCell ref="D5:D8"/>
    <mergeCell ref="E5:E8"/>
    <mergeCell ref="W5:W8"/>
    <mergeCell ref="A5:A8"/>
    <mergeCell ref="B5:B8"/>
    <mergeCell ref="C5:C8"/>
    <mergeCell ref="B49:D49"/>
    <mergeCell ref="Q6:Q8"/>
    <mergeCell ref="B10:E10"/>
    <mergeCell ref="B16:D16"/>
    <mergeCell ref="B21:D21"/>
    <mergeCell ref="B30:D30"/>
    <mergeCell ref="B39:D39"/>
    <mergeCell ref="M7:M8"/>
    <mergeCell ref="N7:N8"/>
    <mergeCell ref="O7:O8"/>
    <mergeCell ref="P7:P8"/>
    <mergeCell ref="F5:F8"/>
    <mergeCell ref="G5:G8"/>
    <mergeCell ref="H5:H8"/>
    <mergeCell ref="I5:I8"/>
    <mergeCell ref="J5:J8"/>
    <mergeCell ref="W1:Y1"/>
    <mergeCell ref="W4:Y4"/>
    <mergeCell ref="A2:AB2"/>
    <mergeCell ref="A3:AC3"/>
    <mergeCell ref="AB5:AB8"/>
    <mergeCell ref="AC5:AC8"/>
    <mergeCell ref="K6:K8"/>
    <mergeCell ref="L6:L8"/>
    <mergeCell ref="M6:P6"/>
    <mergeCell ref="K5:U5"/>
    <mergeCell ref="Y5:Y8"/>
    <mergeCell ref="V5:V8"/>
  </mergeCells>
  <pageMargins left="0.51181102362204722" right="0.27559055118110237" top="0.43307086614173229" bottom="0.47244094488188981" header="0.31496062992125984" footer="0.19685039370078741"/>
  <pageSetup paperSize="9" scale="50" firstPageNumber="166" fitToHeight="0" orientation="landscape" useFirstPageNumber="1" r:id="rId1"/>
  <headerFooter>
    <oddHeader>&amp;C&amp;P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29"/>
  <sheetViews>
    <sheetView view="pageLayout" topLeftCell="A7" zoomScale="85" zoomScaleNormal="85" zoomScalePageLayoutView="85" workbookViewId="0">
      <selection activeCell="J1" sqref="J1:L1"/>
    </sheetView>
  </sheetViews>
  <sheetFormatPr defaultColWidth="7.75" defaultRowHeight="18.75" x14ac:dyDescent="0.25"/>
  <cols>
    <col min="1" max="1" width="6.75" style="38" customWidth="1"/>
    <col min="2" max="2" width="49.125" style="32" customWidth="1"/>
    <col min="3" max="3" width="12.375" style="38" customWidth="1"/>
    <col min="4" max="4" width="11.5" style="32" customWidth="1"/>
    <col min="5" max="5" width="11.5" style="39" customWidth="1"/>
    <col min="6" max="6" width="11.5" style="40" customWidth="1"/>
    <col min="7" max="9" width="11.5" style="39" customWidth="1"/>
    <col min="10" max="10" width="11.5" style="40" customWidth="1"/>
    <col min="11" max="11" width="11.5" style="39" customWidth="1"/>
    <col min="12" max="12" width="11.5" style="32" customWidth="1"/>
    <col min="13" max="13" width="13.25" style="32" bestFit="1" customWidth="1"/>
    <col min="14" max="16384" width="7.75" style="32"/>
  </cols>
  <sheetData>
    <row r="1" spans="1:12" s="30" customFormat="1" ht="36" customHeight="1" x14ac:dyDescent="0.25">
      <c r="A1" s="31"/>
      <c r="B1" s="31"/>
      <c r="C1" s="25"/>
      <c r="D1" s="25"/>
      <c r="E1" s="25"/>
      <c r="F1" s="25"/>
      <c r="I1" s="31"/>
      <c r="J1" s="817" t="s">
        <v>614</v>
      </c>
      <c r="K1" s="818"/>
      <c r="L1" s="818"/>
    </row>
    <row r="2" spans="1:12" ht="52.9" customHeight="1" x14ac:dyDescent="0.25">
      <c r="A2" s="815" t="s">
        <v>148</v>
      </c>
      <c r="B2" s="815"/>
      <c r="C2" s="815"/>
      <c r="D2" s="815"/>
      <c r="E2" s="815"/>
      <c r="F2" s="815"/>
      <c r="G2" s="815"/>
      <c r="H2" s="815"/>
      <c r="I2" s="815"/>
      <c r="J2" s="815"/>
      <c r="K2" s="815"/>
      <c r="L2" s="815"/>
    </row>
    <row r="3" spans="1:12" ht="26.25" customHeight="1" x14ac:dyDescent="0.25">
      <c r="A3" s="816" t="str">
        <f>'B5-TDA2,DA3'!A4:H4</f>
        <v>(Kèm theo Báo cáo số:          /BC-UBND ngày          tháng 11 năm 2023 của UBND tỉnh)</v>
      </c>
      <c r="B3" s="816"/>
      <c r="C3" s="816"/>
      <c r="D3" s="816"/>
      <c r="E3" s="816"/>
      <c r="F3" s="816"/>
      <c r="G3" s="816"/>
      <c r="H3" s="816"/>
      <c r="I3" s="816"/>
      <c r="J3" s="816"/>
      <c r="K3" s="816"/>
      <c r="L3" s="816"/>
    </row>
    <row r="4" spans="1:12" s="36" customFormat="1" ht="62.25" customHeight="1" x14ac:dyDescent="0.25">
      <c r="A4" s="33" t="s">
        <v>1</v>
      </c>
      <c r="B4" s="33" t="s">
        <v>35</v>
      </c>
      <c r="C4" s="33" t="s">
        <v>36</v>
      </c>
      <c r="D4" s="33" t="s">
        <v>37</v>
      </c>
      <c r="E4" s="34" t="s">
        <v>38</v>
      </c>
      <c r="F4" s="35" t="s">
        <v>39</v>
      </c>
      <c r="G4" s="34" t="s">
        <v>40</v>
      </c>
      <c r="H4" s="34" t="s">
        <v>41</v>
      </c>
      <c r="I4" s="34" t="s">
        <v>42</v>
      </c>
      <c r="J4" s="35" t="s">
        <v>43</v>
      </c>
      <c r="K4" s="34" t="s">
        <v>44</v>
      </c>
      <c r="L4" s="33" t="s">
        <v>45</v>
      </c>
    </row>
    <row r="5" spans="1:12" s="36" customFormat="1" ht="21.75" customHeight="1" x14ac:dyDescent="0.25">
      <c r="A5" s="134" t="s">
        <v>46</v>
      </c>
      <c r="B5" s="135" t="s">
        <v>47</v>
      </c>
      <c r="C5" s="134"/>
      <c r="D5" s="134"/>
      <c r="E5" s="136"/>
      <c r="F5" s="137"/>
      <c r="G5" s="136"/>
      <c r="H5" s="136"/>
      <c r="I5" s="136"/>
      <c r="J5" s="137"/>
      <c r="K5" s="136"/>
      <c r="L5" s="134"/>
    </row>
    <row r="6" spans="1:12" s="36" customFormat="1" ht="21.75" customHeight="1" x14ac:dyDescent="0.25">
      <c r="A6" s="138">
        <v>1</v>
      </c>
      <c r="B6" s="139" t="s">
        <v>69</v>
      </c>
      <c r="C6" s="140" t="s">
        <v>70</v>
      </c>
      <c r="D6" s="150">
        <f>SUM(E6:L6)</f>
        <v>66</v>
      </c>
      <c r="E6" s="151">
        <v>8</v>
      </c>
      <c r="F6" s="152">
        <v>8</v>
      </c>
      <c r="G6" s="151">
        <v>9</v>
      </c>
      <c r="H6" s="151">
        <v>8</v>
      </c>
      <c r="I6" s="151">
        <v>13</v>
      </c>
      <c r="J6" s="152">
        <v>10</v>
      </c>
      <c r="K6" s="151">
        <v>10</v>
      </c>
      <c r="L6" s="150"/>
    </row>
    <row r="7" spans="1:12" s="36" customFormat="1" ht="60" customHeight="1" x14ac:dyDescent="0.25">
      <c r="A7" s="138">
        <v>2</v>
      </c>
      <c r="B7" s="139" t="s">
        <v>71</v>
      </c>
      <c r="C7" s="140" t="s">
        <v>70</v>
      </c>
      <c r="D7" s="150">
        <f t="shared" ref="D7:D10" si="0">SUM(E7:L7)</f>
        <v>3</v>
      </c>
      <c r="E7" s="151"/>
      <c r="F7" s="152">
        <v>2</v>
      </c>
      <c r="G7" s="151"/>
      <c r="H7" s="151"/>
      <c r="I7" s="151">
        <v>1</v>
      </c>
      <c r="J7" s="152"/>
      <c r="K7" s="151"/>
      <c r="L7" s="150"/>
    </row>
    <row r="8" spans="1:12" s="36" customFormat="1" ht="60" customHeight="1" x14ac:dyDescent="0.25">
      <c r="A8" s="138">
        <v>3</v>
      </c>
      <c r="B8" s="139" t="s">
        <v>72</v>
      </c>
      <c r="C8" s="140" t="s">
        <v>73</v>
      </c>
      <c r="D8" s="150">
        <f t="shared" si="0"/>
        <v>55</v>
      </c>
      <c r="E8" s="151">
        <v>9</v>
      </c>
      <c r="F8" s="152">
        <v>13</v>
      </c>
      <c r="G8" s="151">
        <v>1</v>
      </c>
      <c r="H8" s="151">
        <v>10</v>
      </c>
      <c r="I8" s="151">
        <v>7</v>
      </c>
      <c r="J8" s="152"/>
      <c r="K8" s="151">
        <v>14</v>
      </c>
      <c r="L8" s="150">
        <v>1</v>
      </c>
    </row>
    <row r="9" spans="1:12" s="36" customFormat="1" ht="21.75" customHeight="1" x14ac:dyDescent="0.25">
      <c r="A9" s="138">
        <v>4</v>
      </c>
      <c r="B9" s="139" t="s">
        <v>74</v>
      </c>
      <c r="C9" s="140" t="s">
        <v>75</v>
      </c>
      <c r="D9" s="150">
        <f t="shared" si="0"/>
        <v>4</v>
      </c>
      <c r="E9" s="151"/>
      <c r="F9" s="152"/>
      <c r="G9" s="151"/>
      <c r="H9" s="151">
        <v>1</v>
      </c>
      <c r="I9" s="151">
        <v>3</v>
      </c>
      <c r="J9" s="152"/>
      <c r="K9" s="151"/>
      <c r="L9" s="150"/>
    </row>
    <row r="10" spans="1:12" s="36" customFormat="1" ht="21.75" customHeight="1" x14ac:dyDescent="0.25">
      <c r="A10" s="138">
        <v>5</v>
      </c>
      <c r="B10" s="141" t="s">
        <v>76</v>
      </c>
      <c r="C10" s="138" t="s">
        <v>70</v>
      </c>
      <c r="D10" s="150">
        <f t="shared" si="0"/>
        <v>9</v>
      </c>
      <c r="E10" s="151"/>
      <c r="F10" s="152">
        <v>2</v>
      </c>
      <c r="G10" s="151"/>
      <c r="H10" s="151">
        <v>3</v>
      </c>
      <c r="I10" s="151">
        <v>4</v>
      </c>
      <c r="J10" s="152"/>
      <c r="K10" s="151"/>
      <c r="L10" s="150"/>
    </row>
    <row r="11" spans="1:12" s="41" customFormat="1" ht="21.75" customHeight="1" x14ac:dyDescent="0.25">
      <c r="A11" s="138">
        <v>6</v>
      </c>
      <c r="B11" s="142" t="s">
        <v>77</v>
      </c>
      <c r="C11" s="143" t="s">
        <v>78</v>
      </c>
      <c r="D11" s="150"/>
      <c r="E11" s="151">
        <v>26.75</v>
      </c>
      <c r="F11" s="152">
        <v>30.25</v>
      </c>
      <c r="G11" s="151">
        <v>39.111111111111114</v>
      </c>
      <c r="H11" s="151">
        <v>28.75</v>
      </c>
      <c r="I11" s="151">
        <v>31.923076923076923</v>
      </c>
      <c r="J11" s="152">
        <v>35.1</v>
      </c>
      <c r="K11" s="151">
        <v>31.6</v>
      </c>
      <c r="L11" s="150"/>
    </row>
    <row r="12" spans="1:12" s="42" customFormat="1" ht="21.75" customHeight="1" x14ac:dyDescent="0.25">
      <c r="A12" s="144" t="s">
        <v>31</v>
      </c>
      <c r="B12" s="145" t="s">
        <v>79</v>
      </c>
      <c r="C12" s="144"/>
      <c r="D12" s="153">
        <f>SUM(D13:D18)</f>
        <v>742.70452564102561</v>
      </c>
      <c r="E12" s="153">
        <f t="shared" ref="E12:L12" si="1">SUM(E13:E18)</f>
        <v>89.002499999999998</v>
      </c>
      <c r="F12" s="153">
        <f t="shared" si="1"/>
        <v>114.3075</v>
      </c>
      <c r="G12" s="153">
        <f t="shared" si="1"/>
        <v>83.973333333333329</v>
      </c>
      <c r="H12" s="153">
        <f t="shared" si="1"/>
        <v>96.362499999999997</v>
      </c>
      <c r="I12" s="153">
        <f t="shared" si="1"/>
        <v>150.05769230769229</v>
      </c>
      <c r="J12" s="153">
        <f t="shared" si="1"/>
        <v>91.052999999999997</v>
      </c>
      <c r="K12" s="153">
        <f t="shared" si="1"/>
        <v>116.148</v>
      </c>
      <c r="L12" s="153">
        <f t="shared" si="1"/>
        <v>1.8</v>
      </c>
    </row>
    <row r="13" spans="1:12" ht="21.75" customHeight="1" x14ac:dyDescent="0.25">
      <c r="A13" s="138">
        <v>1</v>
      </c>
      <c r="B13" s="139" t="s">
        <v>69</v>
      </c>
      <c r="C13" s="140">
        <v>9</v>
      </c>
      <c r="D13" s="150">
        <f>SUM(E13:L13)</f>
        <v>594</v>
      </c>
      <c r="E13" s="151">
        <f>$C13*E6</f>
        <v>72</v>
      </c>
      <c r="F13" s="151">
        <f t="shared" ref="F13:L13" si="2">$C13*F6</f>
        <v>72</v>
      </c>
      <c r="G13" s="151">
        <f t="shared" si="2"/>
        <v>81</v>
      </c>
      <c r="H13" s="151">
        <f t="shared" si="2"/>
        <v>72</v>
      </c>
      <c r="I13" s="151">
        <f t="shared" si="2"/>
        <v>117</v>
      </c>
      <c r="J13" s="151">
        <f t="shared" si="2"/>
        <v>90</v>
      </c>
      <c r="K13" s="151">
        <f t="shared" si="2"/>
        <v>90</v>
      </c>
      <c r="L13" s="151">
        <f t="shared" si="2"/>
        <v>0</v>
      </c>
    </row>
    <row r="14" spans="1:12" ht="60" customHeight="1" x14ac:dyDescent="0.25">
      <c r="A14" s="138">
        <v>2</v>
      </c>
      <c r="B14" s="139" t="s">
        <v>71</v>
      </c>
      <c r="C14" s="140">
        <v>8</v>
      </c>
      <c r="D14" s="150">
        <f t="shared" ref="D14:D17" si="3">SUM(E14:L14)</f>
        <v>24</v>
      </c>
      <c r="E14" s="151">
        <f t="shared" ref="E14:L18" si="4">$C14*E7</f>
        <v>0</v>
      </c>
      <c r="F14" s="151">
        <f t="shared" si="4"/>
        <v>16</v>
      </c>
      <c r="G14" s="151">
        <f t="shared" si="4"/>
        <v>0</v>
      </c>
      <c r="H14" s="151">
        <f t="shared" si="4"/>
        <v>0</v>
      </c>
      <c r="I14" s="151">
        <f t="shared" si="4"/>
        <v>8</v>
      </c>
      <c r="J14" s="151">
        <f t="shared" si="4"/>
        <v>0</v>
      </c>
      <c r="K14" s="151">
        <f t="shared" si="4"/>
        <v>0</v>
      </c>
      <c r="L14" s="151">
        <f t="shared" si="4"/>
        <v>0</v>
      </c>
    </row>
    <row r="15" spans="1:12" ht="60" customHeight="1" x14ac:dyDescent="0.25">
      <c r="A15" s="138">
        <v>3</v>
      </c>
      <c r="B15" s="139" t="s">
        <v>72</v>
      </c>
      <c r="C15" s="148">
        <v>1.8</v>
      </c>
      <c r="D15" s="150">
        <f t="shared" si="3"/>
        <v>99</v>
      </c>
      <c r="E15" s="151">
        <f t="shared" si="4"/>
        <v>16.2</v>
      </c>
      <c r="F15" s="151">
        <f t="shared" si="4"/>
        <v>23.400000000000002</v>
      </c>
      <c r="G15" s="151">
        <f t="shared" si="4"/>
        <v>1.8</v>
      </c>
      <c r="H15" s="151">
        <f t="shared" si="4"/>
        <v>18</v>
      </c>
      <c r="I15" s="151">
        <f t="shared" si="4"/>
        <v>12.6</v>
      </c>
      <c r="J15" s="151">
        <f t="shared" si="4"/>
        <v>0</v>
      </c>
      <c r="K15" s="151">
        <f t="shared" si="4"/>
        <v>25.2</v>
      </c>
      <c r="L15" s="151">
        <f t="shared" si="4"/>
        <v>1.8</v>
      </c>
    </row>
    <row r="16" spans="1:12" ht="21.75" customHeight="1" x14ac:dyDescent="0.25">
      <c r="A16" s="138">
        <v>4</v>
      </c>
      <c r="B16" s="139" t="s">
        <v>74</v>
      </c>
      <c r="C16" s="148">
        <v>2.5</v>
      </c>
      <c r="D16" s="150">
        <f t="shared" si="3"/>
        <v>10</v>
      </c>
      <c r="E16" s="151">
        <f t="shared" si="4"/>
        <v>0</v>
      </c>
      <c r="F16" s="151">
        <f t="shared" si="4"/>
        <v>0</v>
      </c>
      <c r="G16" s="151">
        <f t="shared" si="4"/>
        <v>0</v>
      </c>
      <c r="H16" s="151">
        <f t="shared" si="4"/>
        <v>2.5</v>
      </c>
      <c r="I16" s="151">
        <f t="shared" si="4"/>
        <v>7.5</v>
      </c>
      <c r="J16" s="151">
        <f>$C16*J9</f>
        <v>0</v>
      </c>
      <c r="K16" s="151">
        <f t="shared" si="4"/>
        <v>0</v>
      </c>
      <c r="L16" s="151">
        <f t="shared" si="4"/>
        <v>0</v>
      </c>
    </row>
    <row r="17" spans="1:12" ht="21.75" customHeight="1" x14ac:dyDescent="0.25">
      <c r="A17" s="138">
        <v>5</v>
      </c>
      <c r="B17" s="141" t="s">
        <v>76</v>
      </c>
      <c r="C17" s="140">
        <v>1</v>
      </c>
      <c r="D17" s="150">
        <f t="shared" si="3"/>
        <v>9</v>
      </c>
      <c r="E17" s="151">
        <f t="shared" si="4"/>
        <v>0</v>
      </c>
      <c r="F17" s="151">
        <f t="shared" si="4"/>
        <v>2</v>
      </c>
      <c r="G17" s="151">
        <f t="shared" si="4"/>
        <v>0</v>
      </c>
      <c r="H17" s="151">
        <f t="shared" si="4"/>
        <v>3</v>
      </c>
      <c r="I17" s="151">
        <f t="shared" si="4"/>
        <v>4</v>
      </c>
      <c r="J17" s="151">
        <f t="shared" si="4"/>
        <v>0</v>
      </c>
      <c r="K17" s="151">
        <f t="shared" si="4"/>
        <v>0</v>
      </c>
      <c r="L17" s="151">
        <f t="shared" si="4"/>
        <v>0</v>
      </c>
    </row>
    <row r="18" spans="1:12" ht="21.75" customHeight="1" x14ac:dyDescent="0.25">
      <c r="A18" s="138">
        <v>6</v>
      </c>
      <c r="B18" s="141" t="s">
        <v>77</v>
      </c>
      <c r="C18" s="149">
        <v>0.03</v>
      </c>
      <c r="D18" s="150">
        <f>SUM(E18:L18)</f>
        <v>6.70452564102564</v>
      </c>
      <c r="E18" s="151">
        <f t="shared" si="4"/>
        <v>0.80249999999999999</v>
      </c>
      <c r="F18" s="151">
        <f t="shared" si="4"/>
        <v>0.90749999999999997</v>
      </c>
      <c r="G18" s="151">
        <f t="shared" si="4"/>
        <v>1.1733333333333333</v>
      </c>
      <c r="H18" s="151">
        <f t="shared" si="4"/>
        <v>0.86249999999999993</v>
      </c>
      <c r="I18" s="151">
        <f t="shared" si="4"/>
        <v>0.95769230769230762</v>
      </c>
      <c r="J18" s="151">
        <f>$C18*J11</f>
        <v>1.0529999999999999</v>
      </c>
      <c r="K18" s="151">
        <f t="shared" si="4"/>
        <v>0.94799999999999995</v>
      </c>
      <c r="L18" s="151">
        <f t="shared" si="4"/>
        <v>0</v>
      </c>
    </row>
    <row r="19" spans="1:12" s="37" customFormat="1" ht="21.75" customHeight="1" x14ac:dyDescent="0.25">
      <c r="A19" s="146" t="s">
        <v>54</v>
      </c>
      <c r="B19" s="147" t="s">
        <v>574</v>
      </c>
      <c r="C19" s="138"/>
      <c r="D19" s="153">
        <v>18873</v>
      </c>
      <c r="E19" s="154">
        <f>E20</f>
        <v>2262</v>
      </c>
      <c r="F19" s="154">
        <f t="shared" ref="F19:L19" si="5">F20</f>
        <v>2905</v>
      </c>
      <c r="G19" s="154">
        <f t="shared" si="5"/>
        <v>2134</v>
      </c>
      <c r="H19" s="154">
        <f t="shared" si="5"/>
        <v>2449</v>
      </c>
      <c r="I19" s="154">
        <f t="shared" si="5"/>
        <v>3812</v>
      </c>
      <c r="J19" s="154">
        <f t="shared" si="5"/>
        <v>2314</v>
      </c>
      <c r="K19" s="154">
        <f t="shared" si="5"/>
        <v>2951</v>
      </c>
      <c r="L19" s="154">
        <f t="shared" si="5"/>
        <v>46</v>
      </c>
    </row>
    <row r="20" spans="1:12" ht="22.5" customHeight="1" x14ac:dyDescent="0.25">
      <c r="A20" s="138">
        <v>1</v>
      </c>
      <c r="B20" s="157" t="s">
        <v>150</v>
      </c>
      <c r="C20" s="138" t="s">
        <v>55</v>
      </c>
      <c r="D20" s="150">
        <f>SUM(E20:L20)</f>
        <v>18873</v>
      </c>
      <c r="E20" s="151">
        <f>ROUND(($D$19/$D$12*E12),0)</f>
        <v>2262</v>
      </c>
      <c r="F20" s="151">
        <f>ROUND(($D$19/$D$12*F12),0)</f>
        <v>2905</v>
      </c>
      <c r="G20" s="151">
        <f t="shared" ref="G20:L20" si="6">ROUND(($D$19/$D$12*G12),0)</f>
        <v>2134</v>
      </c>
      <c r="H20" s="151">
        <f t="shared" si="6"/>
        <v>2449</v>
      </c>
      <c r="I20" s="151">
        <f>ROUND(($D$19/$D$12*I12),0)-1</f>
        <v>3812</v>
      </c>
      <c r="J20" s="151">
        <f t="shared" si="6"/>
        <v>2314</v>
      </c>
      <c r="K20" s="151">
        <f>ROUND(($D$19/$D$12*K12),0)</f>
        <v>2951</v>
      </c>
      <c r="L20" s="151">
        <f t="shared" si="6"/>
        <v>46</v>
      </c>
    </row>
    <row r="21" spans="1:12" s="37" customFormat="1" ht="22.5" customHeight="1" x14ac:dyDescent="0.25">
      <c r="A21" s="146" t="s">
        <v>56</v>
      </c>
      <c r="B21" s="147" t="s">
        <v>260</v>
      </c>
      <c r="C21" s="138"/>
      <c r="D21" s="153">
        <f>D22</f>
        <v>944</v>
      </c>
      <c r="E21" s="153">
        <f t="shared" ref="E21:L21" si="7">E22</f>
        <v>113</v>
      </c>
      <c r="F21" s="153">
        <f t="shared" si="7"/>
        <v>145</v>
      </c>
      <c r="G21" s="153">
        <f t="shared" si="7"/>
        <v>107</v>
      </c>
      <c r="H21" s="153">
        <f t="shared" si="7"/>
        <v>122</v>
      </c>
      <c r="I21" s="153">
        <f t="shared" si="7"/>
        <v>191</v>
      </c>
      <c r="J21" s="153">
        <f t="shared" si="7"/>
        <v>116</v>
      </c>
      <c r="K21" s="153">
        <f t="shared" si="7"/>
        <v>148</v>
      </c>
      <c r="L21" s="153">
        <f t="shared" si="7"/>
        <v>2</v>
      </c>
    </row>
    <row r="22" spans="1:12" ht="22.5" customHeight="1" x14ac:dyDescent="0.25">
      <c r="A22" s="138">
        <v>1</v>
      </c>
      <c r="B22" s="157" t="s">
        <v>150</v>
      </c>
      <c r="C22" s="138" t="s">
        <v>55</v>
      </c>
      <c r="D22" s="150">
        <f>SUM(E22:L22)</f>
        <v>944</v>
      </c>
      <c r="E22" s="151">
        <f>ROUND(E20*5%,0)</f>
        <v>113</v>
      </c>
      <c r="F22" s="151">
        <f t="shared" ref="F22:L22" si="8">ROUND(F20*5%,0)</f>
        <v>145</v>
      </c>
      <c r="G22" s="151">
        <f t="shared" si="8"/>
        <v>107</v>
      </c>
      <c r="H22" s="151">
        <f t="shared" si="8"/>
        <v>122</v>
      </c>
      <c r="I22" s="151">
        <f t="shared" si="8"/>
        <v>191</v>
      </c>
      <c r="J22" s="151">
        <f t="shared" si="8"/>
        <v>116</v>
      </c>
      <c r="K22" s="151">
        <f t="shared" si="8"/>
        <v>148</v>
      </c>
      <c r="L22" s="151">
        <f t="shared" si="8"/>
        <v>2</v>
      </c>
    </row>
    <row r="23" spans="1:12" s="37" customFormat="1" ht="22.5" customHeight="1" x14ac:dyDescent="0.25">
      <c r="A23" s="155" t="s">
        <v>57</v>
      </c>
      <c r="B23" s="156" t="s">
        <v>261</v>
      </c>
      <c r="C23" s="138"/>
      <c r="D23" s="153">
        <f>D24</f>
        <v>19817</v>
      </c>
      <c r="E23" s="153">
        <f>E24</f>
        <v>2375</v>
      </c>
      <c r="F23" s="153">
        <f t="shared" ref="F23:L23" si="9">F24</f>
        <v>3050</v>
      </c>
      <c r="G23" s="153">
        <f t="shared" si="9"/>
        <v>2241</v>
      </c>
      <c r="H23" s="153">
        <f t="shared" si="9"/>
        <v>2571</v>
      </c>
      <c r="I23" s="153">
        <f t="shared" si="9"/>
        <v>4003</v>
      </c>
      <c r="J23" s="153">
        <f t="shared" si="9"/>
        <v>2430</v>
      </c>
      <c r="K23" s="153">
        <f t="shared" si="9"/>
        <v>3099</v>
      </c>
      <c r="L23" s="153">
        <f t="shared" si="9"/>
        <v>48</v>
      </c>
    </row>
    <row r="24" spans="1:12" ht="22.5" customHeight="1" x14ac:dyDescent="0.25">
      <c r="A24" s="585">
        <v>1</v>
      </c>
      <c r="B24" s="586" t="s">
        <v>150</v>
      </c>
      <c r="C24" s="585" t="s">
        <v>55</v>
      </c>
      <c r="D24" s="587">
        <f>SUM(E24:L24)</f>
        <v>19817</v>
      </c>
      <c r="E24" s="588">
        <f>E20+E22</f>
        <v>2375</v>
      </c>
      <c r="F24" s="588">
        <f t="shared" ref="F24:L24" si="10">F20+F22</f>
        <v>3050</v>
      </c>
      <c r="G24" s="588">
        <f t="shared" si="10"/>
        <v>2241</v>
      </c>
      <c r="H24" s="588">
        <f t="shared" si="10"/>
        <v>2571</v>
      </c>
      <c r="I24" s="588">
        <f t="shared" si="10"/>
        <v>4003</v>
      </c>
      <c r="J24" s="588">
        <f t="shared" si="10"/>
        <v>2430</v>
      </c>
      <c r="K24" s="588">
        <f t="shared" si="10"/>
        <v>3099</v>
      </c>
      <c r="L24" s="588">
        <f t="shared" si="10"/>
        <v>48</v>
      </c>
    </row>
    <row r="25" spans="1:12" s="37" customFormat="1" ht="42" hidden="1" customHeight="1" x14ac:dyDescent="0.25">
      <c r="A25" s="581" t="s">
        <v>478</v>
      </c>
      <c r="B25" s="582" t="s">
        <v>573</v>
      </c>
      <c r="C25" s="583"/>
      <c r="D25" s="584">
        <f>D26</f>
        <v>21307.549575648769</v>
      </c>
      <c r="E25" s="584">
        <f>E26</f>
        <v>2553.4046389038513</v>
      </c>
      <c r="F25" s="584">
        <f t="shared" ref="F25" si="11">F26</f>
        <v>3279.3831719502487</v>
      </c>
      <c r="G25" s="584">
        <f t="shared" ref="G25" si="12">G26</f>
        <v>2409.1222030566864</v>
      </c>
      <c r="H25" s="584">
        <f t="shared" ref="H25" si="13">H26</f>
        <v>2764.556664322602</v>
      </c>
      <c r="I25" s="584">
        <f t="shared" ref="I25" si="14">I26</f>
        <v>4305.0252256022959</v>
      </c>
      <c r="J25" s="584">
        <f t="shared" ref="J25" si="15">J26</f>
        <v>2612.2317079420509</v>
      </c>
      <c r="K25" s="584">
        <f t="shared" ref="K25" si="16">K26</f>
        <v>3332.1855228718805</v>
      </c>
      <c r="L25" s="584">
        <f t="shared" ref="L25" si="17">L26</f>
        <v>51.640440999150961</v>
      </c>
    </row>
    <row r="26" spans="1:12" ht="22.5" hidden="1" customHeight="1" x14ac:dyDescent="0.25">
      <c r="A26" s="456">
        <v>1</v>
      </c>
      <c r="B26" s="459" t="s">
        <v>150</v>
      </c>
      <c r="C26" s="456" t="s">
        <v>55</v>
      </c>
      <c r="D26" s="462">
        <f>SUM(E26:L26)</f>
        <v>21307.549575648769</v>
      </c>
      <c r="E26" s="463">
        <v>2553.4046389038513</v>
      </c>
      <c r="F26" s="463">
        <v>3279.3831719502487</v>
      </c>
      <c r="G26" s="463">
        <v>2409.1222030566864</v>
      </c>
      <c r="H26" s="463">
        <v>2764.556664322602</v>
      </c>
      <c r="I26" s="463">
        <v>4305.0252256022959</v>
      </c>
      <c r="J26" s="463">
        <v>2612.2317079420509</v>
      </c>
      <c r="K26" s="463">
        <v>3332.1855228718805</v>
      </c>
      <c r="L26" s="463">
        <v>51.640440999150961</v>
      </c>
    </row>
    <row r="27" spans="1:12" s="37" customFormat="1" ht="42" hidden="1" customHeight="1" x14ac:dyDescent="0.25">
      <c r="A27" s="454" t="s">
        <v>497</v>
      </c>
      <c r="B27" s="455" t="s">
        <v>572</v>
      </c>
      <c r="C27" s="456"/>
      <c r="D27" s="457">
        <f>D28</f>
        <v>-1490.5495756487667</v>
      </c>
      <c r="E27" s="457">
        <f>E28</f>
        <v>-178.40463890385126</v>
      </c>
      <c r="F27" s="457">
        <f t="shared" ref="F27" si="18">F28</f>
        <v>-229.38317195024865</v>
      </c>
      <c r="G27" s="457">
        <f t="shared" ref="G27" si="19">G28</f>
        <v>-168.12220305668643</v>
      </c>
      <c r="H27" s="457">
        <f t="shared" ref="H27" si="20">H28</f>
        <v>-193.55666432260205</v>
      </c>
      <c r="I27" s="457">
        <f t="shared" ref="I27" si="21">I28</f>
        <v>-302.0252256022959</v>
      </c>
      <c r="J27" s="457">
        <f t="shared" ref="J27" si="22">J28</f>
        <v>-182.23170794205089</v>
      </c>
      <c r="K27" s="457">
        <f t="shared" ref="K27" si="23">K28</f>
        <v>-233.18552287188049</v>
      </c>
      <c r="L27" s="457">
        <f t="shared" ref="L27" si="24">L28</f>
        <v>-3.640440999150961</v>
      </c>
    </row>
    <row r="28" spans="1:12" ht="22.5" hidden="1" customHeight="1" x14ac:dyDescent="0.25">
      <c r="A28" s="458">
        <v>1</v>
      </c>
      <c r="B28" s="464" t="s">
        <v>150</v>
      </c>
      <c r="C28" s="458" t="s">
        <v>55</v>
      </c>
      <c r="D28" s="460">
        <f>SUM(E28:L28)</f>
        <v>-1490.5495756487667</v>
      </c>
      <c r="E28" s="461">
        <f>E24-E26</f>
        <v>-178.40463890385126</v>
      </c>
      <c r="F28" s="461">
        <f t="shared" ref="F28:L28" si="25">F24-F26</f>
        <v>-229.38317195024865</v>
      </c>
      <c r="G28" s="461">
        <f t="shared" si="25"/>
        <v>-168.12220305668643</v>
      </c>
      <c r="H28" s="461">
        <f t="shared" si="25"/>
        <v>-193.55666432260205</v>
      </c>
      <c r="I28" s="461">
        <f t="shared" si="25"/>
        <v>-302.0252256022959</v>
      </c>
      <c r="J28" s="461">
        <f t="shared" si="25"/>
        <v>-182.23170794205089</v>
      </c>
      <c r="K28" s="461">
        <f t="shared" si="25"/>
        <v>-233.18552287188049</v>
      </c>
      <c r="L28" s="461">
        <f t="shared" si="25"/>
        <v>-3.640440999150961</v>
      </c>
    </row>
    <row r="29" spans="1:12" x14ac:dyDescent="0.25">
      <c r="D29" s="43"/>
    </row>
  </sheetData>
  <mergeCells count="3">
    <mergeCell ref="A2:L2"/>
    <mergeCell ref="A3:L3"/>
    <mergeCell ref="J1:L1"/>
  </mergeCells>
  <pageMargins left="0.59055118110236227" right="0.39370078740157483" top="0.59055118110236227" bottom="0.39370078740157483" header="0.31496062992125984" footer="0.15748031496062992"/>
  <pageSetup paperSize="9" scale="72" firstPageNumber="170" fitToHeight="0" orientation="landscape" useFirstPageNumber="1" r:id="rId1"/>
  <headerFooter>
    <oddHeader>&amp;C&amp;P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34"/>
  <sheetViews>
    <sheetView view="pageLayout" topLeftCell="A7" zoomScaleNormal="100" zoomScaleSheetLayoutView="85" workbookViewId="0">
      <selection activeCell="B36" sqref="B36"/>
    </sheetView>
  </sheetViews>
  <sheetFormatPr defaultColWidth="7.75" defaultRowHeight="15.75" x14ac:dyDescent="0.25"/>
  <cols>
    <col min="1" max="1" width="6.75" style="49" customWidth="1"/>
    <col min="2" max="2" width="41.25" style="13" customWidth="1"/>
    <col min="3" max="3" width="10.125" style="19" customWidth="1"/>
    <col min="4" max="7" width="11.25" style="13" customWidth="1"/>
    <col min="8" max="9" width="11.25" style="50" customWidth="1"/>
    <col min="10" max="10" width="11.25" style="13" customWidth="1"/>
    <col min="11" max="12" width="11.25" style="50" customWidth="1"/>
    <col min="13" max="14" width="11.25" style="13" customWidth="1"/>
    <col min="15" max="16384" width="7.75" style="13"/>
  </cols>
  <sheetData>
    <row r="1" spans="1:14" s="30" customFormat="1" ht="29.25" customHeight="1" x14ac:dyDescent="0.25">
      <c r="A1" s="31"/>
      <c r="B1" s="31"/>
      <c r="C1" s="25"/>
      <c r="D1" s="25"/>
      <c r="E1" s="25"/>
      <c r="F1" s="25"/>
      <c r="I1" s="31"/>
      <c r="K1" s="31"/>
      <c r="L1" s="820" t="s">
        <v>615</v>
      </c>
      <c r="M1" s="821"/>
      <c r="N1" s="821"/>
    </row>
    <row r="2" spans="1:14" s="30" customFormat="1" ht="63.75" customHeight="1" x14ac:dyDescent="0.25">
      <c r="A2" s="822" t="s">
        <v>87</v>
      </c>
      <c r="B2" s="822"/>
      <c r="C2" s="822"/>
      <c r="D2" s="822"/>
      <c r="E2" s="822"/>
      <c r="F2" s="822"/>
      <c r="G2" s="822"/>
      <c r="H2" s="822"/>
      <c r="I2" s="822"/>
      <c r="J2" s="822"/>
      <c r="K2" s="822"/>
      <c r="L2" s="822"/>
      <c r="M2" s="822"/>
      <c r="N2" s="822"/>
    </row>
    <row r="3" spans="1:14" s="30" customFormat="1" ht="31.5" customHeight="1" x14ac:dyDescent="0.25">
      <c r="A3" s="823" t="str">
        <f>'B6-DA4'!A3:L3</f>
        <v>(Kèm theo Báo cáo số:          /BC-UBND ngày          tháng 11 năm 2023 của UBND tỉnh)</v>
      </c>
      <c r="B3" s="823"/>
      <c r="C3" s="823"/>
      <c r="D3" s="823"/>
      <c r="E3" s="823"/>
      <c r="F3" s="823"/>
      <c r="G3" s="823"/>
      <c r="H3" s="823"/>
      <c r="I3" s="823"/>
      <c r="J3" s="823"/>
      <c r="K3" s="823"/>
      <c r="L3" s="823"/>
      <c r="M3" s="823"/>
      <c r="N3" s="823"/>
    </row>
    <row r="4" spans="1:14" x14ac:dyDescent="0.25">
      <c r="A4" s="819"/>
      <c r="B4" s="819"/>
      <c r="C4" s="819"/>
      <c r="D4" s="819"/>
      <c r="E4" s="819"/>
      <c r="F4" s="819"/>
      <c r="G4" s="819"/>
      <c r="H4" s="819"/>
      <c r="I4" s="819"/>
      <c r="J4" s="819"/>
      <c r="K4" s="819"/>
      <c r="L4" s="819"/>
      <c r="M4" s="819"/>
      <c r="N4" s="819"/>
    </row>
    <row r="5" spans="1:14" s="12" customFormat="1" ht="83.25" customHeight="1" x14ac:dyDescent="0.25">
      <c r="A5" s="44" t="s">
        <v>1</v>
      </c>
      <c r="B5" s="44" t="s">
        <v>35</v>
      </c>
      <c r="C5" s="44" t="s">
        <v>36</v>
      </c>
      <c r="D5" s="10" t="s">
        <v>37</v>
      </c>
      <c r="E5" s="10" t="s">
        <v>80</v>
      </c>
      <c r="F5" s="10" t="s">
        <v>151</v>
      </c>
      <c r="G5" s="45" t="s">
        <v>38</v>
      </c>
      <c r="H5" s="46" t="s">
        <v>39</v>
      </c>
      <c r="I5" s="46" t="s">
        <v>40</v>
      </c>
      <c r="J5" s="45" t="s">
        <v>41</v>
      </c>
      <c r="K5" s="46" t="s">
        <v>42</v>
      </c>
      <c r="L5" s="46" t="s">
        <v>43</v>
      </c>
      <c r="M5" s="45" t="s">
        <v>44</v>
      </c>
      <c r="N5" s="10" t="s">
        <v>45</v>
      </c>
    </row>
    <row r="6" spans="1:14" s="12" customFormat="1" ht="20.25" customHeight="1" x14ac:dyDescent="0.25">
      <c r="A6" s="101" t="s">
        <v>46</v>
      </c>
      <c r="B6" s="101" t="s">
        <v>47</v>
      </c>
      <c r="C6" s="101"/>
      <c r="D6" s="101"/>
      <c r="E6" s="101"/>
      <c r="F6" s="101"/>
      <c r="G6" s="101"/>
      <c r="H6" s="102"/>
      <c r="I6" s="102"/>
      <c r="J6" s="101"/>
      <c r="K6" s="102"/>
      <c r="L6" s="102"/>
      <c r="M6" s="101"/>
      <c r="N6" s="101"/>
    </row>
    <row r="7" spans="1:14" s="12" customFormat="1" ht="20.25" customHeight="1" x14ac:dyDescent="0.25">
      <c r="A7" s="105">
        <v>1</v>
      </c>
      <c r="B7" s="159" t="s">
        <v>81</v>
      </c>
      <c r="C7" s="105" t="s">
        <v>82</v>
      </c>
      <c r="D7" s="397">
        <f>SUM(E7:N7)</f>
        <v>850</v>
      </c>
      <c r="E7" s="397"/>
      <c r="F7" s="397"/>
      <c r="G7" s="397"/>
      <c r="H7" s="350">
        <v>140</v>
      </c>
      <c r="I7" s="350">
        <v>250</v>
      </c>
      <c r="J7" s="397">
        <v>20</v>
      </c>
      <c r="K7" s="350">
        <v>0</v>
      </c>
      <c r="L7" s="350">
        <v>440</v>
      </c>
      <c r="M7" s="397">
        <v>0</v>
      </c>
      <c r="N7" s="397"/>
    </row>
    <row r="8" spans="1:14" s="12" customFormat="1" ht="20.25" customHeight="1" x14ac:dyDescent="0.25">
      <c r="A8" s="105">
        <v>2</v>
      </c>
      <c r="B8" s="159" t="s">
        <v>83</v>
      </c>
      <c r="C8" s="105" t="s">
        <v>84</v>
      </c>
      <c r="D8" s="397">
        <f t="shared" ref="D8:D10" si="0">SUM(E8:N8)</f>
        <v>37</v>
      </c>
      <c r="E8" s="397"/>
      <c r="F8" s="397"/>
      <c r="G8" s="397"/>
      <c r="H8" s="350">
        <v>6</v>
      </c>
      <c r="I8" s="350">
        <v>10</v>
      </c>
      <c r="J8" s="397">
        <v>1</v>
      </c>
      <c r="K8" s="350">
        <v>0</v>
      </c>
      <c r="L8" s="350">
        <v>20</v>
      </c>
      <c r="M8" s="397">
        <v>0</v>
      </c>
      <c r="N8" s="397"/>
    </row>
    <row r="9" spans="1:14" s="12" customFormat="1" ht="34.5" customHeight="1" x14ac:dyDescent="0.25">
      <c r="A9" s="105">
        <v>3</v>
      </c>
      <c r="B9" s="159" t="s">
        <v>149</v>
      </c>
      <c r="C9" s="105" t="s">
        <v>85</v>
      </c>
      <c r="D9" s="397">
        <f t="shared" si="0"/>
        <v>850</v>
      </c>
      <c r="E9" s="397"/>
      <c r="F9" s="397"/>
      <c r="G9" s="397"/>
      <c r="H9" s="350">
        <v>140</v>
      </c>
      <c r="I9" s="350">
        <v>250</v>
      </c>
      <c r="J9" s="397">
        <v>20</v>
      </c>
      <c r="K9" s="350">
        <v>0</v>
      </c>
      <c r="L9" s="350">
        <v>440</v>
      </c>
      <c r="M9" s="397">
        <v>0</v>
      </c>
      <c r="N9" s="397"/>
    </row>
    <row r="10" spans="1:14" ht="20.25" customHeight="1" x14ac:dyDescent="0.25">
      <c r="A10" s="105">
        <v>4</v>
      </c>
      <c r="B10" s="160" t="s">
        <v>88</v>
      </c>
      <c r="C10" s="105" t="s">
        <v>86</v>
      </c>
      <c r="D10" s="397">
        <f t="shared" si="0"/>
        <v>40</v>
      </c>
      <c r="E10" s="397"/>
      <c r="F10" s="397">
        <v>1</v>
      </c>
      <c r="G10" s="397">
        <v>2</v>
      </c>
      <c r="H10" s="350">
        <v>6</v>
      </c>
      <c r="I10" s="350">
        <v>8</v>
      </c>
      <c r="J10" s="397">
        <v>0</v>
      </c>
      <c r="K10" s="350">
        <v>6</v>
      </c>
      <c r="L10" s="350">
        <v>10</v>
      </c>
      <c r="M10" s="397">
        <v>7</v>
      </c>
      <c r="N10" s="469"/>
    </row>
    <row r="11" spans="1:14" ht="20.25" customHeight="1" x14ac:dyDescent="0.25">
      <c r="A11" s="103" t="s">
        <v>31</v>
      </c>
      <c r="B11" s="161" t="s">
        <v>79</v>
      </c>
      <c r="C11" s="103"/>
      <c r="D11" s="446">
        <f>SUM(D12:D15)</f>
        <v>20837.5</v>
      </c>
      <c r="E11" s="446">
        <f t="shared" ref="E11:N11" si="1">SUM(E12:E15)</f>
        <v>0</v>
      </c>
      <c r="F11" s="446">
        <f t="shared" si="1"/>
        <v>500</v>
      </c>
      <c r="G11" s="446">
        <f t="shared" si="1"/>
        <v>1000</v>
      </c>
      <c r="H11" s="446">
        <f t="shared" si="1"/>
        <v>3137</v>
      </c>
      <c r="I11" s="446">
        <f t="shared" si="1"/>
        <v>4237.5</v>
      </c>
      <c r="J11" s="446">
        <f t="shared" si="1"/>
        <v>21</v>
      </c>
      <c r="K11" s="446">
        <f t="shared" si="1"/>
        <v>3000</v>
      </c>
      <c r="L11" s="446">
        <f t="shared" si="1"/>
        <v>5442</v>
      </c>
      <c r="M11" s="446">
        <f t="shared" si="1"/>
        <v>3500</v>
      </c>
      <c r="N11" s="446">
        <f t="shared" si="1"/>
        <v>0</v>
      </c>
    </row>
    <row r="12" spans="1:14" ht="20.25" customHeight="1" x14ac:dyDescent="0.25">
      <c r="A12" s="105">
        <v>1</v>
      </c>
      <c r="B12" s="159" t="s">
        <v>81</v>
      </c>
      <c r="C12" s="105">
        <v>0.5</v>
      </c>
      <c r="D12" s="397">
        <f>SUM(E12:N12)</f>
        <v>425</v>
      </c>
      <c r="E12" s="397">
        <f>$C12*E7</f>
        <v>0</v>
      </c>
      <c r="F12" s="397">
        <f t="shared" ref="F12:N12" si="2">$C12*F7</f>
        <v>0</v>
      </c>
      <c r="G12" s="397">
        <f t="shared" si="2"/>
        <v>0</v>
      </c>
      <c r="H12" s="397">
        <f t="shared" si="2"/>
        <v>70</v>
      </c>
      <c r="I12" s="397">
        <f t="shared" si="2"/>
        <v>125</v>
      </c>
      <c r="J12" s="397">
        <f t="shared" si="2"/>
        <v>10</v>
      </c>
      <c r="K12" s="397">
        <f t="shared" si="2"/>
        <v>0</v>
      </c>
      <c r="L12" s="397">
        <f t="shared" si="2"/>
        <v>220</v>
      </c>
      <c r="M12" s="397">
        <f t="shared" si="2"/>
        <v>0</v>
      </c>
      <c r="N12" s="397">
        <f t="shared" si="2"/>
        <v>0</v>
      </c>
    </row>
    <row r="13" spans="1:14" ht="20.25" customHeight="1" x14ac:dyDescent="0.25">
      <c r="A13" s="105">
        <v>2</v>
      </c>
      <c r="B13" s="159" t="s">
        <v>83</v>
      </c>
      <c r="C13" s="105">
        <v>10</v>
      </c>
      <c r="D13" s="397">
        <f t="shared" ref="D13:D14" si="3">SUM(E13:N13)</f>
        <v>370</v>
      </c>
      <c r="E13" s="397">
        <f t="shared" ref="E13:N15" si="4">$C13*E8</f>
        <v>0</v>
      </c>
      <c r="F13" s="397">
        <f t="shared" si="4"/>
        <v>0</v>
      </c>
      <c r="G13" s="397">
        <f t="shared" si="4"/>
        <v>0</v>
      </c>
      <c r="H13" s="397">
        <f t="shared" si="4"/>
        <v>60</v>
      </c>
      <c r="I13" s="397">
        <f t="shared" si="4"/>
        <v>100</v>
      </c>
      <c r="J13" s="397">
        <f t="shared" si="4"/>
        <v>10</v>
      </c>
      <c r="K13" s="397">
        <f t="shared" si="4"/>
        <v>0</v>
      </c>
      <c r="L13" s="397">
        <f t="shared" si="4"/>
        <v>200</v>
      </c>
      <c r="M13" s="397">
        <f t="shared" si="4"/>
        <v>0</v>
      </c>
      <c r="N13" s="397">
        <f t="shared" si="4"/>
        <v>0</v>
      </c>
    </row>
    <row r="14" spans="1:14" ht="34.5" customHeight="1" x14ac:dyDescent="0.25">
      <c r="A14" s="105">
        <v>3</v>
      </c>
      <c r="B14" s="159" t="s">
        <v>149</v>
      </c>
      <c r="C14" s="105">
        <v>0.05</v>
      </c>
      <c r="D14" s="397">
        <f t="shared" si="3"/>
        <v>42.5</v>
      </c>
      <c r="E14" s="397">
        <f t="shared" si="4"/>
        <v>0</v>
      </c>
      <c r="F14" s="397">
        <f t="shared" si="4"/>
        <v>0</v>
      </c>
      <c r="G14" s="397">
        <f t="shared" si="4"/>
        <v>0</v>
      </c>
      <c r="H14" s="397">
        <f t="shared" si="4"/>
        <v>7</v>
      </c>
      <c r="I14" s="397">
        <f t="shared" si="4"/>
        <v>12.5</v>
      </c>
      <c r="J14" s="397">
        <f t="shared" si="4"/>
        <v>1</v>
      </c>
      <c r="K14" s="397">
        <f t="shared" si="4"/>
        <v>0</v>
      </c>
      <c r="L14" s="397">
        <f t="shared" si="4"/>
        <v>22</v>
      </c>
      <c r="M14" s="397">
        <f t="shared" si="4"/>
        <v>0</v>
      </c>
      <c r="N14" s="397">
        <f t="shared" si="4"/>
        <v>0</v>
      </c>
    </row>
    <row r="15" spans="1:14" ht="20.25" customHeight="1" x14ac:dyDescent="0.25">
      <c r="A15" s="105">
        <v>4</v>
      </c>
      <c r="B15" s="160" t="s">
        <v>88</v>
      </c>
      <c r="C15" s="105">
        <v>500</v>
      </c>
      <c r="D15" s="397">
        <f>SUM(E15:N15)</f>
        <v>20000</v>
      </c>
      <c r="E15" s="397">
        <f t="shared" si="4"/>
        <v>0</v>
      </c>
      <c r="F15" s="397">
        <f t="shared" si="4"/>
        <v>500</v>
      </c>
      <c r="G15" s="397">
        <f t="shared" si="4"/>
        <v>1000</v>
      </c>
      <c r="H15" s="397">
        <f t="shared" si="4"/>
        <v>3000</v>
      </c>
      <c r="I15" s="397">
        <f t="shared" si="4"/>
        <v>4000</v>
      </c>
      <c r="J15" s="397">
        <f t="shared" si="4"/>
        <v>0</v>
      </c>
      <c r="K15" s="397">
        <f t="shared" si="4"/>
        <v>3000</v>
      </c>
      <c r="L15" s="397">
        <f t="shared" si="4"/>
        <v>5000</v>
      </c>
      <c r="M15" s="397">
        <f t="shared" si="4"/>
        <v>3500</v>
      </c>
      <c r="N15" s="397">
        <f t="shared" si="4"/>
        <v>0</v>
      </c>
    </row>
    <row r="16" spans="1:14" ht="20.25" customHeight="1" x14ac:dyDescent="0.25">
      <c r="A16" s="103" t="s">
        <v>54</v>
      </c>
      <c r="B16" s="161" t="s">
        <v>575</v>
      </c>
      <c r="C16" s="105"/>
      <c r="D16" s="446">
        <v>14398</v>
      </c>
      <c r="E16" s="446">
        <f>E17</f>
        <v>1440</v>
      </c>
      <c r="F16" s="446">
        <f t="shared" ref="F16:N16" si="5">F17</f>
        <v>311</v>
      </c>
      <c r="G16" s="446">
        <f t="shared" si="5"/>
        <v>622</v>
      </c>
      <c r="H16" s="446">
        <f t="shared" si="5"/>
        <v>1951</v>
      </c>
      <c r="I16" s="446">
        <f t="shared" si="5"/>
        <v>2635</v>
      </c>
      <c r="J16" s="446">
        <f t="shared" si="5"/>
        <v>13</v>
      </c>
      <c r="K16" s="446">
        <f t="shared" si="5"/>
        <v>1866</v>
      </c>
      <c r="L16" s="446">
        <f t="shared" si="5"/>
        <v>3383</v>
      </c>
      <c r="M16" s="446">
        <f t="shared" si="5"/>
        <v>2177</v>
      </c>
      <c r="N16" s="446">
        <f t="shared" si="5"/>
        <v>0</v>
      </c>
    </row>
    <row r="17" spans="1:14" ht="20.25" customHeight="1" x14ac:dyDescent="0.25">
      <c r="A17" s="105">
        <v>1</v>
      </c>
      <c r="B17" s="159" t="s">
        <v>150</v>
      </c>
      <c r="C17" s="105" t="s">
        <v>55</v>
      </c>
      <c r="D17" s="397">
        <f>SUM(E17:N17)</f>
        <v>14398</v>
      </c>
      <c r="E17" s="397">
        <f>ROUND(D16*10%,0)</f>
        <v>1440</v>
      </c>
      <c r="F17" s="397">
        <f>ROUND((($D$16-$E$16)/$D$11*F11),0)</f>
        <v>311</v>
      </c>
      <c r="G17" s="397">
        <f t="shared" ref="G17:N17" si="6">ROUND((($D$16-$E$16)/$D$11*G11),0)</f>
        <v>622</v>
      </c>
      <c r="H17" s="397">
        <f t="shared" si="6"/>
        <v>1951</v>
      </c>
      <c r="I17" s="397">
        <f t="shared" si="6"/>
        <v>2635</v>
      </c>
      <c r="J17" s="397">
        <f t="shared" si="6"/>
        <v>13</v>
      </c>
      <c r="K17" s="397">
        <f t="shared" si="6"/>
        <v>1866</v>
      </c>
      <c r="L17" s="397">
        <f>ROUND((($D$16-$E$16)/$D$11*L11),0)-1</f>
        <v>3383</v>
      </c>
      <c r="M17" s="397">
        <f t="shared" si="6"/>
        <v>2177</v>
      </c>
      <c r="N17" s="397">
        <f t="shared" si="6"/>
        <v>0</v>
      </c>
    </row>
    <row r="18" spans="1:14" ht="20.25" customHeight="1" x14ac:dyDescent="0.25">
      <c r="A18" s="103" t="s">
        <v>56</v>
      </c>
      <c r="B18" s="161" t="s">
        <v>602</v>
      </c>
      <c r="C18" s="105"/>
      <c r="D18" s="446">
        <f>D19</f>
        <v>1174</v>
      </c>
      <c r="E18" s="446">
        <f t="shared" ref="E18:N18" si="7">E19</f>
        <v>117</v>
      </c>
      <c r="F18" s="446">
        <f t="shared" si="7"/>
        <v>25</v>
      </c>
      <c r="G18" s="446">
        <f t="shared" si="7"/>
        <v>51</v>
      </c>
      <c r="H18" s="446">
        <f t="shared" si="7"/>
        <v>159</v>
      </c>
      <c r="I18" s="446">
        <f t="shared" si="7"/>
        <v>215</v>
      </c>
      <c r="J18" s="446">
        <f t="shared" si="7"/>
        <v>1</v>
      </c>
      <c r="K18" s="446">
        <f t="shared" si="7"/>
        <v>152</v>
      </c>
      <c r="L18" s="446">
        <f t="shared" si="7"/>
        <v>276</v>
      </c>
      <c r="M18" s="446">
        <f t="shared" si="7"/>
        <v>178</v>
      </c>
      <c r="N18" s="446">
        <f t="shared" si="7"/>
        <v>0</v>
      </c>
    </row>
    <row r="19" spans="1:14" ht="21.75" customHeight="1" x14ac:dyDescent="0.25">
      <c r="A19" s="105">
        <v>1</v>
      </c>
      <c r="B19" s="159" t="s">
        <v>150</v>
      </c>
      <c r="C19" s="105" t="s">
        <v>55</v>
      </c>
      <c r="D19" s="397">
        <f>SUM(E19:N19)</f>
        <v>1174</v>
      </c>
      <c r="E19" s="397">
        <f>ROUND(E17*8.155%,0)</f>
        <v>117</v>
      </c>
      <c r="F19" s="397">
        <f t="shared" ref="F19:N19" si="8">ROUND(F17*8.155%,0)</f>
        <v>25</v>
      </c>
      <c r="G19" s="397">
        <f t="shared" si="8"/>
        <v>51</v>
      </c>
      <c r="H19" s="397">
        <f t="shared" si="8"/>
        <v>159</v>
      </c>
      <c r="I19" s="397">
        <f t="shared" si="8"/>
        <v>215</v>
      </c>
      <c r="J19" s="397">
        <f t="shared" si="8"/>
        <v>1</v>
      </c>
      <c r="K19" s="397">
        <f t="shared" si="8"/>
        <v>152</v>
      </c>
      <c r="L19" s="397">
        <f t="shared" si="8"/>
        <v>276</v>
      </c>
      <c r="M19" s="397">
        <f t="shared" si="8"/>
        <v>178</v>
      </c>
      <c r="N19" s="397">
        <f t="shared" si="8"/>
        <v>0</v>
      </c>
    </row>
    <row r="20" spans="1:14" ht="21.75" customHeight="1" x14ac:dyDescent="0.25">
      <c r="A20" s="103" t="s">
        <v>57</v>
      </c>
      <c r="B20" s="161" t="s">
        <v>261</v>
      </c>
      <c r="C20" s="105"/>
      <c r="D20" s="446">
        <f>D21</f>
        <v>15572</v>
      </c>
      <c r="E20" s="446">
        <f t="shared" ref="E20:N20" si="9">E21</f>
        <v>1557</v>
      </c>
      <c r="F20" s="446">
        <f t="shared" si="9"/>
        <v>336</v>
      </c>
      <c r="G20" s="446">
        <f t="shared" si="9"/>
        <v>673</v>
      </c>
      <c r="H20" s="446">
        <f t="shared" si="9"/>
        <v>2110</v>
      </c>
      <c r="I20" s="446">
        <f t="shared" si="9"/>
        <v>2850</v>
      </c>
      <c r="J20" s="446">
        <f t="shared" si="9"/>
        <v>14</v>
      </c>
      <c r="K20" s="446">
        <f t="shared" si="9"/>
        <v>2018</v>
      </c>
      <c r="L20" s="446">
        <f t="shared" si="9"/>
        <v>3659</v>
      </c>
      <c r="M20" s="446">
        <f t="shared" si="9"/>
        <v>2355</v>
      </c>
      <c r="N20" s="446">
        <f t="shared" si="9"/>
        <v>0</v>
      </c>
    </row>
    <row r="21" spans="1:14" ht="21.75" customHeight="1" x14ac:dyDescent="0.25">
      <c r="A21" s="105">
        <v>1</v>
      </c>
      <c r="B21" s="159" t="s">
        <v>150</v>
      </c>
      <c r="C21" s="105" t="s">
        <v>55</v>
      </c>
      <c r="D21" s="397">
        <f>SUM(E21:N21)</f>
        <v>15572</v>
      </c>
      <c r="E21" s="397">
        <f>E17+E19</f>
        <v>1557</v>
      </c>
      <c r="F21" s="397">
        <f t="shared" ref="F21:N21" si="10">F17+F19</f>
        <v>336</v>
      </c>
      <c r="G21" s="397">
        <f t="shared" si="10"/>
        <v>673</v>
      </c>
      <c r="H21" s="397">
        <f t="shared" si="10"/>
        <v>2110</v>
      </c>
      <c r="I21" s="397">
        <f t="shared" si="10"/>
        <v>2850</v>
      </c>
      <c r="J21" s="397">
        <f t="shared" si="10"/>
        <v>14</v>
      </c>
      <c r="K21" s="397">
        <f t="shared" si="10"/>
        <v>2018</v>
      </c>
      <c r="L21" s="397">
        <f t="shared" si="10"/>
        <v>3659</v>
      </c>
      <c r="M21" s="397">
        <f t="shared" si="10"/>
        <v>2355</v>
      </c>
      <c r="N21" s="397">
        <f t="shared" si="10"/>
        <v>0</v>
      </c>
    </row>
    <row r="22" spans="1:14" ht="38.25" hidden="1" customHeight="1" x14ac:dyDescent="0.25">
      <c r="A22" s="465" t="s">
        <v>478</v>
      </c>
      <c r="B22" s="466" t="s">
        <v>573</v>
      </c>
      <c r="C22" s="432"/>
      <c r="D22" s="470">
        <f>D23</f>
        <v>16719.727435939287</v>
      </c>
      <c r="E22" s="470">
        <f>E23</f>
        <v>1671.9727435939287</v>
      </c>
      <c r="F22" s="470">
        <f t="shared" ref="F22" si="11">F23</f>
        <v>361.07389783672119</v>
      </c>
      <c r="G22" s="470">
        <f t="shared" ref="G22" si="12">G23</f>
        <v>722.14779567344237</v>
      </c>
      <c r="H22" s="470">
        <f t="shared" ref="H22" si="13">H23</f>
        <v>2265.3776350275889</v>
      </c>
      <c r="I22" s="470">
        <f t="shared" ref="I22" si="14">I23</f>
        <v>3060.1012841662123</v>
      </c>
      <c r="J22" s="470">
        <f t="shared" ref="J22" si="15">J23</f>
        <v>15.16510370914229</v>
      </c>
      <c r="K22" s="470">
        <f t="shared" ref="K22" si="16">K23</f>
        <v>2166.443387020327</v>
      </c>
      <c r="L22" s="470">
        <f t="shared" ref="L22" si="17">L23</f>
        <v>3929.9283040548739</v>
      </c>
      <c r="M22" s="470">
        <f t="shared" ref="M22" si="18">M23</f>
        <v>2527.5172848570483</v>
      </c>
      <c r="N22" s="470">
        <f t="shared" ref="N22" si="19">N23</f>
        <v>0</v>
      </c>
    </row>
    <row r="23" spans="1:14" ht="21.75" hidden="1" customHeight="1" x14ac:dyDescent="0.25">
      <c r="A23" s="432">
        <v>1</v>
      </c>
      <c r="B23" s="467" t="s">
        <v>150</v>
      </c>
      <c r="C23" s="432" t="s">
        <v>55</v>
      </c>
      <c r="D23" s="447">
        <f>SUM(E23:N23)</f>
        <v>16719.727435939287</v>
      </c>
      <c r="E23" s="447">
        <v>1671.9727435939287</v>
      </c>
      <c r="F23" s="447">
        <v>361.07389783672119</v>
      </c>
      <c r="G23" s="447">
        <v>722.14779567344237</v>
      </c>
      <c r="H23" s="447">
        <v>2265.3776350275889</v>
      </c>
      <c r="I23" s="447">
        <v>3060.1012841662123</v>
      </c>
      <c r="J23" s="447">
        <v>15.16510370914229</v>
      </c>
      <c r="K23" s="447">
        <v>2166.443387020327</v>
      </c>
      <c r="L23" s="447">
        <v>3929.9283040548739</v>
      </c>
      <c r="M23" s="447">
        <v>2527.5172848570483</v>
      </c>
      <c r="N23" s="447">
        <v>0</v>
      </c>
    </row>
    <row r="24" spans="1:14" ht="38.25" hidden="1" customHeight="1" x14ac:dyDescent="0.25">
      <c r="A24" s="465" t="s">
        <v>497</v>
      </c>
      <c r="B24" s="466" t="s">
        <v>571</v>
      </c>
      <c r="C24" s="432"/>
      <c r="D24" s="470">
        <f>D25</f>
        <v>-1147.727435939285</v>
      </c>
      <c r="E24" s="470">
        <f>E25</f>
        <v>-114.97274359392873</v>
      </c>
      <c r="F24" s="470">
        <f t="shared" ref="F24" si="20">F25</f>
        <v>-25.073897836721187</v>
      </c>
      <c r="G24" s="470">
        <f t="shared" ref="G24" si="21">G25</f>
        <v>-49.147795673442374</v>
      </c>
      <c r="H24" s="470">
        <f t="shared" ref="H24" si="22">H25</f>
        <v>-155.37763502758889</v>
      </c>
      <c r="I24" s="470">
        <f t="shared" ref="I24" si="23">I25</f>
        <v>-210.10128416621228</v>
      </c>
      <c r="J24" s="470">
        <f t="shared" ref="J24" si="24">J25</f>
        <v>-1.16510370914229</v>
      </c>
      <c r="K24" s="470">
        <f t="shared" ref="K24" si="25">K25</f>
        <v>-148.44338702032701</v>
      </c>
      <c r="L24" s="470">
        <f t="shared" ref="L24" si="26">L25</f>
        <v>-270.92830405487393</v>
      </c>
      <c r="M24" s="470">
        <f t="shared" ref="M24" si="27">M25</f>
        <v>-172.51728485704825</v>
      </c>
      <c r="N24" s="470">
        <f t="shared" ref="N24" si="28">N25</f>
        <v>0</v>
      </c>
    </row>
    <row r="25" spans="1:14" ht="21.75" hidden="1" customHeight="1" x14ac:dyDescent="0.25">
      <c r="A25" s="435">
        <v>1</v>
      </c>
      <c r="B25" s="468" t="s">
        <v>150</v>
      </c>
      <c r="C25" s="435" t="s">
        <v>55</v>
      </c>
      <c r="D25" s="449">
        <f>SUM(E25:N25)</f>
        <v>-1147.727435939285</v>
      </c>
      <c r="E25" s="449">
        <f>E21-E23</f>
        <v>-114.97274359392873</v>
      </c>
      <c r="F25" s="449">
        <f t="shared" ref="F25:N25" si="29">F21-F23</f>
        <v>-25.073897836721187</v>
      </c>
      <c r="G25" s="449">
        <f t="shared" si="29"/>
        <v>-49.147795673442374</v>
      </c>
      <c r="H25" s="449">
        <f t="shared" si="29"/>
        <v>-155.37763502758889</v>
      </c>
      <c r="I25" s="449">
        <f t="shared" si="29"/>
        <v>-210.10128416621228</v>
      </c>
      <c r="J25" s="449">
        <f t="shared" si="29"/>
        <v>-1.16510370914229</v>
      </c>
      <c r="K25" s="449">
        <f t="shared" si="29"/>
        <v>-148.44338702032701</v>
      </c>
      <c r="L25" s="449">
        <f t="shared" si="29"/>
        <v>-270.92830405487393</v>
      </c>
      <c r="M25" s="449">
        <f t="shared" si="29"/>
        <v>-172.51728485704825</v>
      </c>
      <c r="N25" s="449">
        <f t="shared" si="29"/>
        <v>0</v>
      </c>
    </row>
    <row r="26" spans="1:14" x14ac:dyDescent="0.25">
      <c r="A26" s="47"/>
      <c r="B26" s="47"/>
      <c r="C26" s="47"/>
      <c r="D26" s="47"/>
      <c r="E26" s="47"/>
      <c r="F26" s="47"/>
      <c r="G26" s="47"/>
      <c r="H26" s="48"/>
      <c r="I26" s="48"/>
      <c r="J26" s="47"/>
      <c r="K26" s="48"/>
      <c r="L26" s="48"/>
      <c r="M26" s="47"/>
      <c r="N26" s="47"/>
    </row>
    <row r="27" spans="1:14" hidden="1" x14ac:dyDescent="0.25">
      <c r="H27" s="13"/>
      <c r="I27" s="13"/>
      <c r="K27" s="13"/>
      <c r="L27" s="13"/>
    </row>
    <row r="28" spans="1:14" hidden="1" x14ac:dyDescent="0.25">
      <c r="C28" s="19" t="s">
        <v>552</v>
      </c>
      <c r="D28" s="402">
        <v>14398</v>
      </c>
      <c r="E28" s="403">
        <f>SUM(D28:D31)</f>
        <v>72414</v>
      </c>
    </row>
    <row r="29" spans="1:14" hidden="1" x14ac:dyDescent="0.25">
      <c r="C29" s="19" t="s">
        <v>553</v>
      </c>
      <c r="D29" s="402">
        <v>12785</v>
      </c>
      <c r="E29" s="403"/>
    </row>
    <row r="30" spans="1:14" hidden="1" x14ac:dyDescent="0.25">
      <c r="C30" s="19" t="s">
        <v>554</v>
      </c>
      <c r="D30" s="402">
        <v>30000</v>
      </c>
      <c r="E30" s="403">
        <f>E28*5%</f>
        <v>3620.7000000000003</v>
      </c>
      <c r="F30" s="542">
        <f>D18+'B9-TDA3,DA5'!D11</f>
        <v>3621</v>
      </c>
      <c r="J30" s="158"/>
    </row>
    <row r="31" spans="1:14" hidden="1" x14ac:dyDescent="0.25">
      <c r="C31" s="19" t="s">
        <v>555</v>
      </c>
      <c r="D31" s="402">
        <v>15231</v>
      </c>
      <c r="E31" s="402">
        <f>D28+D30</f>
        <v>44398</v>
      </c>
      <c r="F31" s="542">
        <f>D16+'B9-TDA3,DA5'!D9</f>
        <v>44398</v>
      </c>
    </row>
    <row r="32" spans="1:14" hidden="1" x14ac:dyDescent="0.25">
      <c r="E32" s="404">
        <f>E30/E31</f>
        <v>8.1550970764448852E-2</v>
      </c>
    </row>
    <row r="33" spans="4:5" hidden="1" x14ac:dyDescent="0.25"/>
    <row r="34" spans="4:5" hidden="1" x14ac:dyDescent="0.25">
      <c r="D34" s="542"/>
      <c r="E34" s="403"/>
    </row>
  </sheetData>
  <mergeCells count="4">
    <mergeCell ref="A4:N4"/>
    <mergeCell ref="L1:N1"/>
    <mergeCell ref="A2:N2"/>
    <mergeCell ref="A3:N3"/>
  </mergeCells>
  <pageMargins left="0.59055118110236227" right="0.39370078740157483" top="0.59055118110236227" bottom="0.39370078740157483" header="0.31496062992125984" footer="0.31496062992125984"/>
  <pageSetup paperSize="9" scale="68" firstPageNumber="171" fitToHeight="0" orientation="landscape" useFirstPageNumber="1" r:id="rId1"/>
  <headerFooter>
    <oddHeader>&amp;C&amp;P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
  <sheetViews>
    <sheetView zoomScale="85" zoomScaleNormal="85" zoomScalePageLayoutView="70" workbookViewId="0">
      <selection activeCell="N9" sqref="N9"/>
    </sheetView>
  </sheetViews>
  <sheetFormatPr defaultColWidth="7.75" defaultRowHeight="15.75" x14ac:dyDescent="0.25"/>
  <cols>
    <col min="1" max="1" width="6.75" style="54" customWidth="1"/>
    <col min="2" max="2" width="40.5" style="54" customWidth="1"/>
    <col min="3" max="3" width="10.125" style="54" customWidth="1"/>
    <col min="4" max="4" width="9.875" style="54" bestFit="1" customWidth="1"/>
    <col min="5" max="13" width="9.125" style="54" customWidth="1"/>
    <col min="14" max="14" width="45.875" style="54" customWidth="1"/>
    <col min="15" max="16384" width="7.75" style="54"/>
  </cols>
  <sheetData>
    <row r="1" spans="1:15" s="27" customFormat="1" ht="29.25" customHeight="1" x14ac:dyDescent="0.25">
      <c r="A1" s="23"/>
      <c r="B1" s="23"/>
      <c r="C1" s="26"/>
      <c r="D1" s="26"/>
      <c r="E1" s="26"/>
      <c r="F1" s="26"/>
      <c r="I1" s="23"/>
      <c r="K1" s="23"/>
      <c r="L1" s="824" t="s">
        <v>152</v>
      </c>
      <c r="M1" s="824"/>
      <c r="N1" s="824"/>
    </row>
    <row r="2" spans="1:15" s="27" customFormat="1" ht="47.25" customHeight="1" x14ac:dyDescent="0.25">
      <c r="A2" s="796" t="s">
        <v>91</v>
      </c>
      <c r="B2" s="796"/>
      <c r="C2" s="796"/>
      <c r="D2" s="796"/>
      <c r="E2" s="796"/>
      <c r="F2" s="796"/>
      <c r="G2" s="796"/>
      <c r="H2" s="796"/>
      <c r="I2" s="796"/>
      <c r="J2" s="796"/>
      <c r="K2" s="796"/>
      <c r="L2" s="796"/>
      <c r="M2" s="796"/>
      <c r="N2" s="796"/>
    </row>
    <row r="3" spans="1:15" s="27" customFormat="1" ht="31.5" customHeight="1" x14ac:dyDescent="0.25">
      <c r="A3" s="825" t="str">
        <f>'B7-TDA1,DA5'!A3:N3</f>
        <v>(Kèm theo Báo cáo số:          /BC-UBND ngày          tháng 11 năm 2023 của UBND tỉnh)</v>
      </c>
      <c r="B3" s="825"/>
      <c r="C3" s="825"/>
      <c r="D3" s="825"/>
      <c r="E3" s="825"/>
      <c r="F3" s="825"/>
      <c r="G3" s="825"/>
      <c r="H3" s="825"/>
      <c r="I3" s="825"/>
      <c r="J3" s="825"/>
      <c r="K3" s="825"/>
      <c r="L3" s="825"/>
      <c r="M3" s="825"/>
      <c r="N3" s="825"/>
    </row>
    <row r="4" spans="1:15" s="52" customFormat="1" ht="70.5" customHeight="1" x14ac:dyDescent="0.25">
      <c r="A4" s="51" t="s">
        <v>1</v>
      </c>
      <c r="B4" s="51" t="s">
        <v>35</v>
      </c>
      <c r="C4" s="51" t="s">
        <v>36</v>
      </c>
      <c r="D4" s="51" t="s">
        <v>37</v>
      </c>
      <c r="E4" s="51" t="s">
        <v>89</v>
      </c>
      <c r="F4" s="51" t="s">
        <v>38</v>
      </c>
      <c r="G4" s="51" t="s">
        <v>39</v>
      </c>
      <c r="H4" s="51" t="s">
        <v>40</v>
      </c>
      <c r="I4" s="51" t="s">
        <v>41</v>
      </c>
      <c r="J4" s="51" t="s">
        <v>42</v>
      </c>
      <c r="K4" s="51" t="s">
        <v>43</v>
      </c>
      <c r="L4" s="51" t="s">
        <v>44</v>
      </c>
      <c r="M4" s="51" t="s">
        <v>45</v>
      </c>
      <c r="N4" s="51" t="s">
        <v>3</v>
      </c>
    </row>
    <row r="5" spans="1:15" s="52" customFormat="1" ht="30.75" customHeight="1" x14ac:dyDescent="0.25">
      <c r="A5" s="162" t="s">
        <v>46</v>
      </c>
      <c r="B5" s="174" t="s">
        <v>47</v>
      </c>
      <c r="C5" s="162"/>
      <c r="D5" s="162"/>
      <c r="E5" s="162"/>
      <c r="F5" s="162"/>
      <c r="G5" s="162"/>
      <c r="H5" s="162"/>
      <c r="I5" s="162"/>
      <c r="J5" s="162"/>
      <c r="K5" s="162"/>
      <c r="L5" s="162"/>
      <c r="M5" s="162"/>
      <c r="N5" s="162"/>
    </row>
    <row r="6" spans="1:15" s="52" customFormat="1" ht="30.75" customHeight="1" x14ac:dyDescent="0.25">
      <c r="A6" s="163">
        <v>1</v>
      </c>
      <c r="B6" s="175" t="s">
        <v>90</v>
      </c>
      <c r="C6" s="164" t="s">
        <v>70</v>
      </c>
      <c r="D6" s="163">
        <f>SUM(F6:M6)</f>
        <v>108</v>
      </c>
      <c r="E6" s="163"/>
      <c r="F6" s="163">
        <v>14</v>
      </c>
      <c r="G6" s="163">
        <v>20</v>
      </c>
      <c r="H6" s="163">
        <v>10</v>
      </c>
      <c r="I6" s="163">
        <v>14</v>
      </c>
      <c r="J6" s="163">
        <v>17</v>
      </c>
      <c r="K6" s="163">
        <v>10</v>
      </c>
      <c r="L6" s="163">
        <v>15</v>
      </c>
      <c r="M6" s="163">
        <v>8</v>
      </c>
      <c r="N6" s="165"/>
    </row>
    <row r="7" spans="1:15" s="53" customFormat="1" ht="30.75" customHeight="1" x14ac:dyDescent="0.25">
      <c r="A7" s="166" t="s">
        <v>31</v>
      </c>
      <c r="B7" s="176" t="s">
        <v>79</v>
      </c>
      <c r="C7" s="166"/>
      <c r="D7" s="166"/>
      <c r="E7" s="166"/>
      <c r="F7" s="166"/>
      <c r="G7" s="166"/>
      <c r="H7" s="166"/>
      <c r="I7" s="166"/>
      <c r="J7" s="166"/>
      <c r="K7" s="166"/>
      <c r="L7" s="166"/>
      <c r="M7" s="166"/>
      <c r="N7" s="166"/>
    </row>
    <row r="8" spans="1:15" ht="30.75" customHeight="1" x14ac:dyDescent="0.25">
      <c r="A8" s="163">
        <v>1</v>
      </c>
      <c r="B8" s="175" t="s">
        <v>90</v>
      </c>
      <c r="C8" s="167">
        <v>0.20399999999999999</v>
      </c>
      <c r="D8" s="163">
        <f>SUM(F8:M8)</f>
        <v>22.032</v>
      </c>
      <c r="E8" s="163"/>
      <c r="F8" s="168">
        <f>F6*$C$8</f>
        <v>2.8559999999999999</v>
      </c>
      <c r="G8" s="168">
        <f t="shared" ref="G8:M8" si="0">G6*$C$8</f>
        <v>4.08</v>
      </c>
      <c r="H8" s="168">
        <f t="shared" si="0"/>
        <v>2.04</v>
      </c>
      <c r="I8" s="168">
        <f t="shared" si="0"/>
        <v>2.8559999999999999</v>
      </c>
      <c r="J8" s="168">
        <f>J6*$C$8</f>
        <v>3.468</v>
      </c>
      <c r="K8" s="168">
        <f t="shared" si="0"/>
        <v>2.04</v>
      </c>
      <c r="L8" s="168">
        <f t="shared" si="0"/>
        <v>3.0599999999999996</v>
      </c>
      <c r="M8" s="168">
        <f t="shared" si="0"/>
        <v>1.6319999999999999</v>
      </c>
      <c r="N8" s="169"/>
    </row>
    <row r="9" spans="1:15" ht="190.5" customHeight="1" x14ac:dyDescent="0.25">
      <c r="A9" s="170" t="s">
        <v>54</v>
      </c>
      <c r="B9" s="177" t="s">
        <v>96</v>
      </c>
      <c r="C9" s="171" t="s">
        <v>55</v>
      </c>
      <c r="D9" s="172">
        <f>'B1-TH DA'!E22</f>
        <v>0</v>
      </c>
      <c r="E9" s="172"/>
      <c r="F9" s="172"/>
      <c r="G9" s="172"/>
      <c r="H9" s="172"/>
      <c r="I9" s="172"/>
      <c r="J9" s="172"/>
      <c r="K9" s="172"/>
      <c r="L9" s="172"/>
      <c r="M9" s="172"/>
      <c r="N9" s="173" t="s">
        <v>135</v>
      </c>
    </row>
    <row r="10" spans="1:15" x14ac:dyDescent="0.25">
      <c r="A10" s="55"/>
      <c r="B10" s="55"/>
      <c r="C10" s="55"/>
      <c r="D10" s="55"/>
      <c r="E10" s="55"/>
      <c r="F10" s="55"/>
      <c r="G10" s="55"/>
      <c r="H10" s="55"/>
      <c r="I10" s="55"/>
      <c r="J10" s="55"/>
      <c r="K10" s="55"/>
      <c r="L10" s="55"/>
      <c r="M10" s="55"/>
      <c r="N10" s="56"/>
      <c r="O10" s="56"/>
    </row>
  </sheetData>
  <mergeCells count="3">
    <mergeCell ref="L1:N1"/>
    <mergeCell ref="A2:N2"/>
    <mergeCell ref="A3:N3"/>
  </mergeCells>
  <pageMargins left="0.7" right="0.43809523809523809" top="0.75" bottom="0.75" header="0.3" footer="0.3"/>
  <pageSetup paperSize="9" scale="64" fitToHeight="0" orientation="landscape"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A8040F126D0B4B4DB83E10593CC9657E" ma:contentTypeVersion="2" ma:contentTypeDescription="Create a new document." ma:contentTypeScope="" ma:versionID="bc865b4f45415bd6d9edb59b6d820544">
  <xsd:schema xmlns:xsd="http://www.w3.org/2001/XMLSchema" xmlns:xs="http://www.w3.org/2001/XMLSchema" xmlns:p="http://schemas.microsoft.com/office/2006/metadata/properties" xmlns:ns2="24e12227-0b0d-4b23-9586-977e009500b0" xmlns:ns3="ae4e42cd-c673-4541-a17d-d353a4125f5e" targetNamespace="http://schemas.microsoft.com/office/2006/metadata/properties" ma:root="true" ma:fieldsID="0acf8286736a2877a680aa0849ebe948" ns2:_="" ns3:_="">
    <xsd:import namespace="24e12227-0b0d-4b23-9586-977e009500b0"/>
    <xsd:import namespace="ae4e42cd-c673-4541-a17d-d353a4125f5e"/>
    <xsd:element name="properties">
      <xsd:complexType>
        <xsd:sequence>
          <xsd:element name="documentManagement">
            <xsd:complexType>
              <xsd:all>
                <xsd:element ref="ns2:MaTinBai" minOccurs="0"/>
                <xsd:element ref="ns2:KieuTepTi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e12227-0b0d-4b23-9586-977e009500b0" elementFormDefault="qualified">
    <xsd:import namespace="http://schemas.microsoft.com/office/2006/documentManagement/types"/>
    <xsd:import namespace="http://schemas.microsoft.com/office/infopath/2007/PartnerControls"/>
    <xsd:element name="MaTinBai" ma:index="8" nillable="true" ma:displayName="MaTinBai" ma:internalName="MaTinBai">
      <xsd:simpleType>
        <xsd:restriction base="dms:Text">
          <xsd:maxLength value="255"/>
        </xsd:restriction>
      </xsd:simpleType>
    </xsd:element>
    <xsd:element name="KieuTepTin" ma:index="9" nillable="true" ma:displayName="KieuTepTin" ma:default="Tài liệu đính kèm" ma:format="Dropdown" ma:internalName="KieuTepTin">
      <xsd:simpleType>
        <xsd:restriction base="dms:Choice">
          <xsd:enumeration value="Tài liệu đính kèm"/>
          <xsd:enumeration value="Tài liệu"/>
          <xsd:enumeration value="Khác"/>
        </xsd:restriction>
      </xsd:simpleType>
    </xsd:element>
  </xsd:schema>
  <xsd:schema xmlns:xsd="http://www.w3.org/2001/XMLSchema" xmlns:xs="http://www.w3.org/2001/XMLSchema" xmlns:dms="http://schemas.microsoft.com/office/2006/documentManagement/types" xmlns:pc="http://schemas.microsoft.com/office/infopath/2007/PartnerControls" targetNamespace="ae4e42cd-c673-4541-a17d-d353a4125f5e"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KieuTepTin xmlns="24e12227-0b0d-4b23-9586-977e009500b0">Tài liệu đính kèm</KieuTepTin>
    <_dlc_DocId xmlns="ae4e42cd-c673-4541-a17d-d353a4125f5e">DDYPFUVZ5X6F-6-6301</_dlc_DocId>
    <_dlc_DocIdUrl xmlns="ae4e42cd-c673-4541-a17d-d353a4125f5e">
      <Url>https://dbdc.backan.gov.vn/_layouts/15/DocIdRedir.aspx?ID=DDYPFUVZ5X6F-6-6301</Url>
      <Description>DDYPFUVZ5X6F-6-6301</Description>
    </_dlc_DocIdUrl>
    <MaTinBai xmlns="24e12227-0b0d-4b23-9586-977e009500b0">49cf939c33962b5e</MaTinBai>
  </documentManagement>
</p:properties>
</file>

<file path=customXml/itemProps1.xml><?xml version="1.0" encoding="utf-8"?>
<ds:datastoreItem xmlns:ds="http://schemas.openxmlformats.org/officeDocument/2006/customXml" ds:itemID="{9DF01E65-ED64-4C99-B2CB-FE3E46B30E2C}"/>
</file>

<file path=customXml/itemProps2.xml><?xml version="1.0" encoding="utf-8"?>
<ds:datastoreItem xmlns:ds="http://schemas.openxmlformats.org/officeDocument/2006/customXml" ds:itemID="{B75E843A-ECDE-499D-BE44-ABA5A6A39D33}"/>
</file>

<file path=customXml/itemProps3.xml><?xml version="1.0" encoding="utf-8"?>
<ds:datastoreItem xmlns:ds="http://schemas.openxmlformats.org/officeDocument/2006/customXml" ds:itemID="{68D8F190-2D09-411D-9602-538A25AD5C10}"/>
</file>

<file path=customXml/itemProps4.xml><?xml version="1.0" encoding="utf-8"?>
<ds:datastoreItem xmlns:ds="http://schemas.openxmlformats.org/officeDocument/2006/customXml" ds:itemID="{34B22D3C-052B-4C46-BECF-B6793DC7590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17</vt:i4>
      </vt:variant>
    </vt:vector>
  </HeadingPairs>
  <TitlesOfParts>
    <vt:vector size="36" baseType="lpstr">
      <vt:lpstr>B1-TH DA</vt:lpstr>
      <vt:lpstr>B2-TH ĐV</vt:lpstr>
      <vt:lpstr>B3-DA1</vt:lpstr>
      <vt:lpstr>B4-TDA1,DA3</vt:lpstr>
      <vt:lpstr>B5-TDA2,DA3</vt:lpstr>
      <vt:lpstr>B5.1-Chi tiết DAPTSX</vt:lpstr>
      <vt:lpstr>B6-DA4</vt:lpstr>
      <vt:lpstr>B7-TDA1,DA5</vt:lpstr>
      <vt:lpstr>B7-TDA2,DA5</vt:lpstr>
      <vt:lpstr>B8-TDA2, DA5</vt:lpstr>
      <vt:lpstr>B9-TDA3,DA5</vt:lpstr>
      <vt:lpstr>B10-TDA4,DA5</vt:lpstr>
      <vt:lpstr>B11-DA6</vt:lpstr>
      <vt:lpstr>B12-DA7</vt:lpstr>
      <vt:lpstr>B13-DA8</vt:lpstr>
      <vt:lpstr>B14-TDA2,DA9</vt:lpstr>
      <vt:lpstr>B15-TDA1,DA10</vt:lpstr>
      <vt:lpstr>B16-TDA2,DA10</vt:lpstr>
      <vt:lpstr>B17-TDA3,DA10</vt:lpstr>
      <vt:lpstr>'B11-DA6'!Print_Area</vt:lpstr>
      <vt:lpstr>'B12-DA7'!Print_Area</vt:lpstr>
      <vt:lpstr>'B13-DA8'!Print_Area</vt:lpstr>
      <vt:lpstr>'B14-TDA2,DA9'!Print_Area</vt:lpstr>
      <vt:lpstr>'B15-TDA1,DA10'!Print_Area</vt:lpstr>
      <vt:lpstr>'B3-DA1'!Print_Area</vt:lpstr>
      <vt:lpstr>'B4-TDA1,DA3'!Print_Area</vt:lpstr>
      <vt:lpstr>'B5-TDA2,DA3'!Print_Area</vt:lpstr>
      <vt:lpstr>'B7-TDA1,DA5'!Print_Area</vt:lpstr>
      <vt:lpstr>'B8-TDA2, DA5'!Print_Area</vt:lpstr>
      <vt:lpstr>'B11-DA6'!Print_Titles</vt:lpstr>
      <vt:lpstr>'B1-TH DA'!Print_Titles</vt:lpstr>
      <vt:lpstr>'B2-TH ĐV'!Print_Titles</vt:lpstr>
      <vt:lpstr>'B3-DA1'!Print_Titles</vt:lpstr>
      <vt:lpstr>'B4-TDA1,DA3'!Print_Titles</vt:lpstr>
      <vt:lpstr>'B5.1-Chi tiết DAPTSX'!Print_Titles</vt:lpstr>
      <vt:lpstr>'B6-DA4'!Print_Titles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BAC SON PC</dc:creator>
  <cp:lastModifiedBy>Admin</cp:lastModifiedBy>
  <cp:lastPrinted>2023-11-23T09:24:06Z</cp:lastPrinted>
  <dcterms:created xsi:type="dcterms:W3CDTF">2022-10-21T02:05:10Z</dcterms:created>
  <dcterms:modified xsi:type="dcterms:W3CDTF">2023-11-29T03:48:49Z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0x010100A8040F126D0B4B4DB83E10593CC9657E</vt:lpwstr>
  </property>
  <property fmtid="{D5CDD505-2E9C-101B-9397-08002B2CF9AE}" pid="3" name="_dlc_DocIdItemGuid">
    <vt:lpwstr>6c39feb3-c9ce-4438-98aa-fed6bcf1baac</vt:lpwstr>
  </property>
</Properties>
</file>