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Năm 2023\HĐND\2780\"/>
    </mc:Choice>
  </mc:AlternateContent>
  <xr:revisionPtr revIDLastSave="0" documentId="13_ncr:1_{672E63C6-5AF4-4F2D-9D57-EFF4298518A7}" xr6:coauthVersionLast="47" xr6:coauthVersionMax="47" xr10:uidLastSave="{00000000-0000-0000-0000-000000000000}"/>
  <bookViews>
    <workbookView xWindow="-120" yWindow="-120" windowWidth="29040" windowHeight="15840" firstSheet="1" activeTab="2" xr2:uid="{00000000-000D-0000-FFFF-FFFF00000000}"/>
  </bookViews>
  <sheets>
    <sheet name="Sheet1" sheetId="1" state="hidden" r:id="rId1"/>
    <sheet name="Biểu 01 DA" sheetId="3" r:id="rId2"/>
    <sheet name="Biểu 02" sheetId="6" r:id="rId3"/>
    <sheet name="Biểu 03 Dự kiến phân bổ nguồn" sheetId="7" state="hidden" r:id="rId4"/>
    <sheet name="Dự kiến phân chia" sheetId="8" state="hidden" r:id="rId5"/>
    <sheet name="Sheet2" sheetId="9" state="hidden" r:id="rId6"/>
    <sheet name="Biểu 01-TH" sheetId="5" state="hidden" r:id="rId7"/>
  </sheets>
  <definedNames>
    <definedName name="_xlnm.Print_Titles" localSheetId="1">'Biểu 01 DA'!$4:$5</definedName>
    <definedName name="_xlnm.Print_Titles" localSheetId="2">'Biểu 02'!$5:$7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6" l="1"/>
  <c r="H67" i="6" l="1"/>
  <c r="G67" i="6" s="1"/>
  <c r="I20" i="6" l="1"/>
  <c r="W14" i="3"/>
  <c r="W21" i="3"/>
  <c r="I64" i="6" s="1"/>
  <c r="V21" i="3"/>
  <c r="U21" i="3"/>
  <c r="T21" i="3"/>
  <c r="S21" i="3"/>
  <c r="R23" i="3"/>
  <c r="H58" i="6"/>
  <c r="H57" i="6" s="1"/>
  <c r="G58" i="6"/>
  <c r="U14" i="3"/>
  <c r="T14" i="3"/>
  <c r="S14" i="3"/>
  <c r="R19" i="3"/>
  <c r="G36" i="6"/>
  <c r="I34" i="6"/>
  <c r="G40" i="6"/>
  <c r="G39" i="6"/>
  <c r="G38" i="6"/>
  <c r="G35" i="6"/>
  <c r="I29" i="6"/>
  <c r="W20" i="3"/>
  <c r="R20" i="3" s="1"/>
  <c r="V15" i="3"/>
  <c r="V14" i="3" s="1"/>
  <c r="I22" i="8" s="1"/>
  <c r="H37" i="6"/>
  <c r="G37" i="6" s="1"/>
  <c r="H34" i="6" l="1"/>
  <c r="G34" i="6"/>
  <c r="F25" i="8"/>
  <c r="G64" i="6"/>
  <c r="G57" i="6" s="1"/>
  <c r="I25" i="8" l="1"/>
  <c r="K25" i="8" l="1"/>
  <c r="J25" i="8"/>
  <c r="L14" i="8" l="1"/>
  <c r="D41" i="8"/>
  <c r="L40" i="8"/>
  <c r="L39" i="8"/>
  <c r="N39" i="8" s="1"/>
  <c r="D38" i="8"/>
  <c r="M39" i="8" l="1"/>
  <c r="D39" i="8" s="1"/>
  <c r="H25" i="8" l="1"/>
  <c r="E25" i="8" s="1"/>
  <c r="H26" i="8"/>
  <c r="E26" i="8" s="1"/>
  <c r="M13" i="8"/>
  <c r="M14" i="8" s="1"/>
  <c r="D26" i="8"/>
  <c r="D25" i="8"/>
  <c r="D23" i="8"/>
  <c r="C26" i="8" l="1"/>
  <c r="D11" i="8"/>
  <c r="D10" i="8"/>
  <c r="D9" i="8"/>
  <c r="D8" i="8"/>
  <c r="N13" i="8"/>
  <c r="N14" i="8" s="1"/>
  <c r="H7" i="8"/>
  <c r="H6" i="8"/>
  <c r="G7" i="8" l="1"/>
  <c r="I87" i="6" l="1"/>
  <c r="I86" i="6"/>
  <c r="I85" i="6"/>
  <c r="I84" i="6"/>
  <c r="I83" i="6"/>
  <c r="I80" i="6"/>
  <c r="I79" i="6"/>
  <c r="I78" i="6"/>
  <c r="I77" i="6"/>
  <c r="I76" i="6"/>
  <c r="I75" i="6"/>
  <c r="I72" i="6"/>
  <c r="I71" i="6"/>
  <c r="I70" i="6"/>
  <c r="I69" i="6"/>
  <c r="I68" i="6"/>
  <c r="I63" i="6"/>
  <c r="I62" i="6"/>
  <c r="I61" i="6"/>
  <c r="I60" i="6"/>
  <c r="I59" i="6"/>
  <c r="I56" i="6"/>
  <c r="I55" i="6"/>
  <c r="I54" i="6"/>
  <c r="I53" i="6"/>
  <c r="I52" i="6"/>
  <c r="I51" i="6"/>
  <c r="I48" i="6"/>
  <c r="I47" i="6"/>
  <c r="I46" i="6"/>
  <c r="I45" i="6"/>
  <c r="I44" i="6"/>
  <c r="I43" i="6"/>
  <c r="I33" i="6"/>
  <c r="I32" i="6"/>
  <c r="I31" i="6"/>
  <c r="I30" i="6"/>
  <c r="I26" i="6"/>
  <c r="I25" i="6"/>
  <c r="I23" i="6"/>
  <c r="I22" i="6"/>
  <c r="I21" i="6"/>
  <c r="I19" i="6"/>
  <c r="I16" i="6"/>
  <c r="C20" i="6"/>
  <c r="L13" i="7"/>
  <c r="C80" i="6"/>
  <c r="C32" i="6"/>
  <c r="C38" i="6"/>
  <c r="W8" i="3"/>
  <c r="F61" i="6"/>
  <c r="S36" i="3"/>
  <c r="T25" i="3"/>
  <c r="U25" i="3"/>
  <c r="V36" i="3"/>
  <c r="L24" i="8" s="1"/>
  <c r="W36" i="3"/>
  <c r="U36" i="3"/>
  <c r="T36" i="3"/>
  <c r="R39" i="3"/>
  <c r="R13" i="3"/>
  <c r="E75" i="6"/>
  <c r="R35" i="3"/>
  <c r="W25" i="3"/>
  <c r="V25" i="3"/>
  <c r="K9" i="7"/>
  <c r="J9" i="7"/>
  <c r="I9" i="7"/>
  <c r="L43" i="8" l="1"/>
  <c r="I88" i="6"/>
  <c r="L28" i="8"/>
  <c r="M28" i="8" s="1"/>
  <c r="H88" i="6"/>
  <c r="G88" i="6" s="1"/>
  <c r="I58" i="6"/>
  <c r="I57" i="6" s="1"/>
  <c r="N43" i="8"/>
  <c r="L44" i="8"/>
  <c r="M43" i="8"/>
  <c r="N24" i="8"/>
  <c r="M24" i="8"/>
  <c r="K22" i="8"/>
  <c r="J22" i="8"/>
  <c r="F82" i="6"/>
  <c r="F13" i="8" s="1"/>
  <c r="N28" i="8" l="1"/>
  <c r="G13" i="8"/>
  <c r="C13" i="8"/>
  <c r="H13" i="8"/>
  <c r="E13" i="8" s="1"/>
  <c r="M44" i="8"/>
  <c r="N44" i="8"/>
  <c r="D24" i="8"/>
  <c r="M29" i="8"/>
  <c r="N29" i="8"/>
  <c r="I37" i="8"/>
  <c r="D13" i="8" l="1"/>
  <c r="G14" i="8"/>
  <c r="J37" i="8"/>
  <c r="K37" i="8"/>
  <c r="H50" i="6"/>
  <c r="F24" i="8" s="1"/>
  <c r="G50" i="6"/>
  <c r="R34" i="3"/>
  <c r="C70" i="6"/>
  <c r="H24" i="8" l="1"/>
  <c r="E24" i="8" s="1"/>
  <c r="C24" i="8"/>
  <c r="I50" i="6"/>
  <c r="F39" i="8" s="1"/>
  <c r="I7" i="8"/>
  <c r="I40" i="8"/>
  <c r="R22" i="3"/>
  <c r="P21" i="3"/>
  <c r="R21" i="3" l="1"/>
  <c r="L14" i="7" s="1"/>
  <c r="H39" i="8"/>
  <c r="E39" i="8" s="1"/>
  <c r="C39" i="8"/>
  <c r="K7" i="8"/>
  <c r="E7" i="8" s="1"/>
  <c r="J7" i="8"/>
  <c r="D7" i="8" s="1"/>
  <c r="C7" i="8"/>
  <c r="C25" i="8"/>
  <c r="L29" i="8"/>
  <c r="J40" i="8"/>
  <c r="K40" i="8"/>
  <c r="M14" i="7" l="1"/>
  <c r="N14" i="7"/>
  <c r="D40" i="8"/>
  <c r="V8" i="3"/>
  <c r="I21" i="8" s="1"/>
  <c r="U8" i="3"/>
  <c r="I6" i="8" s="1"/>
  <c r="T8" i="3"/>
  <c r="S8" i="3"/>
  <c r="R10" i="3"/>
  <c r="R9" i="3"/>
  <c r="F34" i="6"/>
  <c r="D34" i="6"/>
  <c r="R18" i="3"/>
  <c r="H10" i="6"/>
  <c r="G10" i="6"/>
  <c r="E10" i="6"/>
  <c r="D10" i="6"/>
  <c r="C90" i="6"/>
  <c r="H89" i="6"/>
  <c r="G89" i="6"/>
  <c r="E89" i="6"/>
  <c r="D89" i="6"/>
  <c r="E53" i="6"/>
  <c r="D56" i="6"/>
  <c r="C56" i="6" s="1"/>
  <c r="N15" i="7"/>
  <c r="M15" i="7"/>
  <c r="D15" i="7" s="1"/>
  <c r="T15" i="7" s="1"/>
  <c r="D14" i="7"/>
  <c r="T14" i="7" s="1"/>
  <c r="N12" i="7"/>
  <c r="M12" i="7"/>
  <c r="D12" i="7" s="1"/>
  <c r="T12" i="7" s="1"/>
  <c r="I10" i="6" l="1"/>
  <c r="J21" i="8"/>
  <c r="K21" i="8"/>
  <c r="C6" i="8"/>
  <c r="K6" i="8"/>
  <c r="J6" i="8"/>
  <c r="R8" i="3"/>
  <c r="C89" i="6"/>
  <c r="E6" i="8" l="1"/>
  <c r="D21" i="8"/>
  <c r="D6" i="8"/>
  <c r="L10" i="7"/>
  <c r="M10" i="7" s="1"/>
  <c r="N10" i="7" l="1"/>
  <c r="D10" i="7"/>
  <c r="T10" i="7" s="1"/>
  <c r="N7" i="3"/>
  <c r="N6" i="3" s="1"/>
  <c r="M7" i="3"/>
  <c r="M6" i="3" s="1"/>
  <c r="L7" i="3"/>
  <c r="L6" i="3" s="1"/>
  <c r="I7" i="3"/>
  <c r="E7" i="3"/>
  <c r="E6" i="3" s="1"/>
  <c r="C86" i="6"/>
  <c r="C85" i="6"/>
  <c r="C84" i="6"/>
  <c r="C83" i="6"/>
  <c r="H82" i="6"/>
  <c r="G82" i="6"/>
  <c r="F81" i="6"/>
  <c r="E82" i="6"/>
  <c r="E81" i="6" s="1"/>
  <c r="D82" i="6"/>
  <c r="D81" i="6" s="1"/>
  <c r="C79" i="6"/>
  <c r="C78" i="6"/>
  <c r="C77" i="6"/>
  <c r="C76" i="6"/>
  <c r="C75" i="6"/>
  <c r="H74" i="6"/>
  <c r="G74" i="6"/>
  <c r="F74" i="6"/>
  <c r="E74" i="6"/>
  <c r="E73" i="6" s="1"/>
  <c r="D74" i="6"/>
  <c r="D73" i="6" s="1"/>
  <c r="C64" i="6"/>
  <c r="C62" i="6"/>
  <c r="C61" i="6"/>
  <c r="C60" i="6"/>
  <c r="C59" i="6"/>
  <c r="F58" i="6"/>
  <c r="F57" i="6" s="1"/>
  <c r="F10" i="8" s="1"/>
  <c r="E58" i="6"/>
  <c r="E57" i="6" s="1"/>
  <c r="D58" i="6"/>
  <c r="D57" i="6" s="1"/>
  <c r="C71" i="6"/>
  <c r="C69" i="6"/>
  <c r="C68" i="6"/>
  <c r="C67" i="6"/>
  <c r="H66" i="6"/>
  <c r="H65" i="6" s="1"/>
  <c r="G66" i="6"/>
  <c r="F66" i="6"/>
  <c r="F65" i="6" s="1"/>
  <c r="F11" i="8" s="1"/>
  <c r="E66" i="6"/>
  <c r="E65" i="6" s="1"/>
  <c r="D66" i="6"/>
  <c r="D65" i="6" s="1"/>
  <c r="C54" i="6"/>
  <c r="C53" i="6"/>
  <c r="C52" i="6"/>
  <c r="C51" i="6"/>
  <c r="H49" i="6"/>
  <c r="G49" i="6"/>
  <c r="F50" i="6"/>
  <c r="F49" i="6" s="1"/>
  <c r="F9" i="8" s="1"/>
  <c r="E50" i="6"/>
  <c r="E49" i="6" s="1"/>
  <c r="D50" i="6"/>
  <c r="D49" i="6" s="1"/>
  <c r="C25" i="6"/>
  <c r="H24" i="6"/>
  <c r="G24" i="6"/>
  <c r="F24" i="6"/>
  <c r="F15" i="6" s="1"/>
  <c r="E24" i="6"/>
  <c r="D24" i="6"/>
  <c r="C22" i="6"/>
  <c r="C21" i="6"/>
  <c r="H18" i="6"/>
  <c r="F21" i="8" s="1"/>
  <c r="G18" i="6"/>
  <c r="I18" i="6" s="1"/>
  <c r="F18" i="6"/>
  <c r="E18" i="6"/>
  <c r="D18" i="6"/>
  <c r="C46" i="6"/>
  <c r="C45" i="6"/>
  <c r="C44" i="6"/>
  <c r="C43" i="6"/>
  <c r="H42" i="6"/>
  <c r="G42" i="6"/>
  <c r="F42" i="6"/>
  <c r="F41" i="6" s="1"/>
  <c r="F8" i="8" s="1"/>
  <c r="E42" i="6"/>
  <c r="E41" i="6" s="1"/>
  <c r="D42" i="6"/>
  <c r="D41" i="6" s="1"/>
  <c r="C37" i="6"/>
  <c r="C36" i="6"/>
  <c r="E34" i="6"/>
  <c r="E12" i="6"/>
  <c r="C30" i="6"/>
  <c r="C29" i="6"/>
  <c r="H28" i="6"/>
  <c r="H27" i="6" s="1"/>
  <c r="G28" i="6"/>
  <c r="F28" i="6"/>
  <c r="H14" i="6"/>
  <c r="G14" i="6"/>
  <c r="F14" i="6"/>
  <c r="E14" i="6"/>
  <c r="D14" i="6"/>
  <c r="H13" i="6"/>
  <c r="G13" i="6"/>
  <c r="F13" i="6"/>
  <c r="D13" i="6"/>
  <c r="H12" i="6"/>
  <c r="G12" i="6"/>
  <c r="F12" i="6"/>
  <c r="F9" i="6" s="1"/>
  <c r="H11" i="6"/>
  <c r="G11" i="6"/>
  <c r="F11" i="6"/>
  <c r="E11" i="6"/>
  <c r="D11" i="6"/>
  <c r="F8" i="6" l="1"/>
  <c r="I14" i="6"/>
  <c r="E17" i="6"/>
  <c r="H21" i="8"/>
  <c r="C21" i="8"/>
  <c r="C8" i="8"/>
  <c r="H8" i="8"/>
  <c r="I12" i="6"/>
  <c r="H41" i="6"/>
  <c r="F23" i="8"/>
  <c r="F36" i="8"/>
  <c r="F73" i="6"/>
  <c r="F12" i="8"/>
  <c r="H12" i="8" s="1"/>
  <c r="I13" i="6"/>
  <c r="I28" i="6"/>
  <c r="F37" i="8" s="1"/>
  <c r="H9" i="8"/>
  <c r="E9" i="8" s="1"/>
  <c r="C9" i="8"/>
  <c r="H81" i="6"/>
  <c r="F28" i="8"/>
  <c r="H73" i="6"/>
  <c r="F27" i="8"/>
  <c r="H27" i="8" s="1"/>
  <c r="F22" i="8"/>
  <c r="H11" i="8"/>
  <c r="E11" i="8" s="1"/>
  <c r="C11" i="8"/>
  <c r="H10" i="8"/>
  <c r="E10" i="8" s="1"/>
  <c r="C10" i="8"/>
  <c r="I24" i="6"/>
  <c r="G41" i="6"/>
  <c r="C41" i="6" s="1"/>
  <c r="I42" i="6"/>
  <c r="F38" i="8" s="1"/>
  <c r="G73" i="6"/>
  <c r="I74" i="6"/>
  <c r="F42" i="8" s="1"/>
  <c r="H42" i="8" s="1"/>
  <c r="G65" i="6"/>
  <c r="I65" i="6" s="1"/>
  <c r="I66" i="6"/>
  <c r="F41" i="8" s="1"/>
  <c r="F17" i="6"/>
  <c r="I82" i="6"/>
  <c r="F43" i="8" s="1"/>
  <c r="F40" i="8"/>
  <c r="I11" i="6"/>
  <c r="I49" i="6"/>
  <c r="C10" i="6"/>
  <c r="C24" i="6"/>
  <c r="G17" i="6"/>
  <c r="C31" i="6"/>
  <c r="C12" i="6" s="1"/>
  <c r="C14" i="6"/>
  <c r="C82" i="6"/>
  <c r="F17" i="7" s="1"/>
  <c r="F27" i="6"/>
  <c r="C74" i="6"/>
  <c r="D28" i="6"/>
  <c r="D27" i="6" s="1"/>
  <c r="D12" i="6"/>
  <c r="D9" i="6" s="1"/>
  <c r="G9" i="6"/>
  <c r="E15" i="6"/>
  <c r="C11" i="6"/>
  <c r="G27" i="6"/>
  <c r="I27" i="6" s="1"/>
  <c r="E28" i="6"/>
  <c r="C66" i="6"/>
  <c r="C34" i="6"/>
  <c r="H15" i="6"/>
  <c r="C13" i="6"/>
  <c r="H9" i="6"/>
  <c r="C35" i="6"/>
  <c r="D17" i="6"/>
  <c r="C50" i="6"/>
  <c r="E13" i="6"/>
  <c r="E9" i="6" s="1"/>
  <c r="H17" i="6"/>
  <c r="D15" i="6"/>
  <c r="C42" i="6"/>
  <c r="F12" i="7" s="1"/>
  <c r="H12" i="7" s="1"/>
  <c r="E12" i="7" s="1"/>
  <c r="C18" i="6"/>
  <c r="F10" i="7" s="1"/>
  <c r="H10" i="7" s="1"/>
  <c r="E10" i="7" s="1"/>
  <c r="C58" i="6"/>
  <c r="F14" i="7" s="1"/>
  <c r="H14" i="7" s="1"/>
  <c r="E14" i="7" s="1"/>
  <c r="F25" i="3"/>
  <c r="R37" i="3"/>
  <c r="R36" i="3" s="1"/>
  <c r="O13" i="7" s="1"/>
  <c r="I73" i="6" l="1"/>
  <c r="C57" i="6"/>
  <c r="F29" i="8"/>
  <c r="C41" i="8"/>
  <c r="H41" i="8"/>
  <c r="E41" i="8" s="1"/>
  <c r="C38" i="8"/>
  <c r="H38" i="8"/>
  <c r="E38" i="8" s="1"/>
  <c r="G37" i="8"/>
  <c r="H37" i="8"/>
  <c r="E37" i="8" s="1"/>
  <c r="C37" i="8"/>
  <c r="H43" i="8"/>
  <c r="E43" i="8" s="1"/>
  <c r="G43" i="8"/>
  <c r="D43" i="8" s="1"/>
  <c r="C43" i="8"/>
  <c r="I41" i="6"/>
  <c r="F14" i="8"/>
  <c r="G28" i="8"/>
  <c r="D28" i="8" s="1"/>
  <c r="H28" i="8"/>
  <c r="E28" i="8" s="1"/>
  <c r="C28" i="8"/>
  <c r="H36" i="8"/>
  <c r="F44" i="8"/>
  <c r="C36" i="8"/>
  <c r="H40" i="8"/>
  <c r="E40" i="8" s="1"/>
  <c r="C40" i="8"/>
  <c r="G22" i="8"/>
  <c r="H22" i="8"/>
  <c r="E22" i="8" s="1"/>
  <c r="C22" i="8"/>
  <c r="E8" i="8"/>
  <c r="H14" i="8"/>
  <c r="K36" i="8"/>
  <c r="J36" i="8"/>
  <c r="D36" i="8" s="1"/>
  <c r="C23" i="8"/>
  <c r="H23" i="8"/>
  <c r="E23" i="8" s="1"/>
  <c r="E21" i="8"/>
  <c r="I9" i="6"/>
  <c r="I17" i="6"/>
  <c r="C14" i="7"/>
  <c r="R14" i="7" s="1"/>
  <c r="S14" i="7" s="1"/>
  <c r="C12" i="7"/>
  <c r="R12" i="7" s="1"/>
  <c r="S12" i="7" s="1"/>
  <c r="C10" i="7"/>
  <c r="R10" i="7" s="1"/>
  <c r="S10" i="7" s="1"/>
  <c r="C65" i="6"/>
  <c r="F15" i="7"/>
  <c r="H15" i="7" s="1"/>
  <c r="E15" i="7" s="1"/>
  <c r="C49" i="6"/>
  <c r="F13" i="7"/>
  <c r="H13" i="7" s="1"/>
  <c r="C17" i="6"/>
  <c r="C73" i="6"/>
  <c r="F16" i="7"/>
  <c r="H16" i="7" s="1"/>
  <c r="G17" i="7"/>
  <c r="E8" i="6"/>
  <c r="N13" i="7"/>
  <c r="H8" i="6"/>
  <c r="C28" i="6"/>
  <c r="F11" i="7" s="1"/>
  <c r="E27" i="6"/>
  <c r="D8" i="6"/>
  <c r="C9" i="6"/>
  <c r="V24" i="3"/>
  <c r="U24" i="3"/>
  <c r="T24" i="3"/>
  <c r="S25" i="3"/>
  <c r="S24" i="3" s="1"/>
  <c r="R33" i="3"/>
  <c r="R32" i="3"/>
  <c r="R31" i="3"/>
  <c r="R30" i="3"/>
  <c r="R29" i="3"/>
  <c r="R28" i="3"/>
  <c r="R27" i="3"/>
  <c r="R26" i="3"/>
  <c r="H29" i="8" l="1"/>
  <c r="H44" i="8"/>
  <c r="E36" i="8"/>
  <c r="G29" i="8"/>
  <c r="D22" i="8"/>
  <c r="G44" i="8"/>
  <c r="D37" i="8"/>
  <c r="U10" i="7"/>
  <c r="U12" i="7"/>
  <c r="C15" i="7"/>
  <c r="U14" i="7"/>
  <c r="H11" i="7"/>
  <c r="G11" i="7"/>
  <c r="G9" i="7" s="1"/>
  <c r="R15" i="7"/>
  <c r="S15" i="7" s="1"/>
  <c r="F9" i="7"/>
  <c r="H17" i="7"/>
  <c r="R25" i="3"/>
  <c r="W24" i="3"/>
  <c r="M13" i="7"/>
  <c r="Q13" i="7"/>
  <c r="P13" i="7"/>
  <c r="C27" i="6"/>
  <c r="W11" i="3"/>
  <c r="V11" i="3"/>
  <c r="U11" i="3"/>
  <c r="T11" i="3"/>
  <c r="T7" i="3" s="1"/>
  <c r="S11" i="3"/>
  <c r="S7" i="3" s="1"/>
  <c r="R12" i="3"/>
  <c r="R24" i="3" l="1"/>
  <c r="P17" i="7"/>
  <c r="Q17" i="7"/>
  <c r="U7" i="3"/>
  <c r="I12" i="8"/>
  <c r="V7" i="3"/>
  <c r="V6" i="3" s="1"/>
  <c r="I27" i="8"/>
  <c r="W7" i="3"/>
  <c r="W6" i="3" s="1"/>
  <c r="I42" i="8"/>
  <c r="H9" i="7"/>
  <c r="U15" i="7"/>
  <c r="O17" i="7"/>
  <c r="O9" i="7" s="1"/>
  <c r="E13" i="7"/>
  <c r="R11" i="3"/>
  <c r="D13" i="7"/>
  <c r="T13" i="7" s="1"/>
  <c r="U6" i="3"/>
  <c r="T6" i="3"/>
  <c r="S6" i="3"/>
  <c r="R17" i="3"/>
  <c r="R16" i="3"/>
  <c r="R15" i="3"/>
  <c r="R14" i="3" l="1"/>
  <c r="K27" i="8"/>
  <c r="C27" i="8"/>
  <c r="C29" i="8" s="1"/>
  <c r="J27" i="8"/>
  <c r="I29" i="8"/>
  <c r="K12" i="8"/>
  <c r="C12" i="8"/>
  <c r="C14" i="8" s="1"/>
  <c r="J12" i="8"/>
  <c r="I14" i="8"/>
  <c r="K42" i="8"/>
  <c r="C42" i="8"/>
  <c r="C44" i="8" s="1"/>
  <c r="J42" i="8"/>
  <c r="I44" i="8"/>
  <c r="C13" i="7"/>
  <c r="R7" i="3"/>
  <c r="R6" i="3" s="1"/>
  <c r="L16" i="7"/>
  <c r="N16" i="7" s="1"/>
  <c r="E16" i="7" s="1"/>
  <c r="Q9" i="7"/>
  <c r="P9" i="7"/>
  <c r="D12" i="8" l="1"/>
  <c r="D14" i="8" s="1"/>
  <c r="J14" i="8"/>
  <c r="E12" i="8"/>
  <c r="E14" i="8" s="1"/>
  <c r="K14" i="8"/>
  <c r="D42" i="8"/>
  <c r="D44" i="8" s="1"/>
  <c r="J44" i="8"/>
  <c r="D27" i="8"/>
  <c r="D29" i="8" s="1"/>
  <c r="J29" i="8"/>
  <c r="C47" i="8"/>
  <c r="C48" i="8" s="1"/>
  <c r="C49" i="8" s="1"/>
  <c r="E42" i="8"/>
  <c r="E44" i="8" s="1"/>
  <c r="K44" i="8"/>
  <c r="E27" i="8"/>
  <c r="E29" i="8" s="1"/>
  <c r="K29" i="8"/>
  <c r="R13" i="7"/>
  <c r="L11" i="7"/>
  <c r="M16" i="7"/>
  <c r="D16" i="7" s="1"/>
  <c r="E17" i="7"/>
  <c r="D17" i="7"/>
  <c r="T17" i="7" s="1"/>
  <c r="N13" i="5"/>
  <c r="N17" i="5"/>
  <c r="H14" i="5"/>
  <c r="H15" i="5"/>
  <c r="H16" i="5"/>
  <c r="H17" i="5"/>
  <c r="H13" i="5"/>
  <c r="H11" i="5"/>
  <c r="D47" i="8" l="1"/>
  <c r="D48" i="8" s="1"/>
  <c r="D49" i="8" s="1"/>
  <c r="E47" i="8"/>
  <c r="E48" i="8" s="1"/>
  <c r="E49" i="8" s="1"/>
  <c r="C16" i="7"/>
  <c r="R16" i="7" s="1"/>
  <c r="T16" i="7"/>
  <c r="S13" i="7"/>
  <c r="U13" i="7"/>
  <c r="E17" i="5"/>
  <c r="N11" i="7"/>
  <c r="L9" i="7"/>
  <c r="E13" i="5"/>
  <c r="M11" i="7"/>
  <c r="M9" i="7" s="1"/>
  <c r="C17" i="7"/>
  <c r="H36" i="3"/>
  <c r="I6" i="3"/>
  <c r="K36" i="3"/>
  <c r="L36" i="3"/>
  <c r="M36" i="3"/>
  <c r="N36" i="3"/>
  <c r="O36" i="3"/>
  <c r="P36" i="3"/>
  <c r="F36" i="3"/>
  <c r="F24" i="3" s="1"/>
  <c r="G36" i="3"/>
  <c r="G24" i="3" s="1"/>
  <c r="G10" i="5"/>
  <c r="I9" i="5"/>
  <c r="H12" i="5"/>
  <c r="J37" i="3"/>
  <c r="J36" i="3" s="1"/>
  <c r="S16" i="7" l="1"/>
  <c r="U16" i="7"/>
  <c r="R17" i="7"/>
  <c r="E11" i="7"/>
  <c r="N9" i="7"/>
  <c r="D11" i="7"/>
  <c r="H10" i="5"/>
  <c r="G12" i="5"/>
  <c r="K9" i="5"/>
  <c r="F9" i="5"/>
  <c r="J9" i="5"/>
  <c r="D9" i="7" l="1"/>
  <c r="T11" i="7"/>
  <c r="T9" i="7" s="1"/>
  <c r="E9" i="7"/>
  <c r="S17" i="7"/>
  <c r="U17" i="7"/>
  <c r="C11" i="7"/>
  <c r="G9" i="5"/>
  <c r="H9" i="5"/>
  <c r="C9" i="7" l="1"/>
  <c r="R11" i="7"/>
  <c r="L25" i="3"/>
  <c r="M25" i="3"/>
  <c r="N25" i="3"/>
  <c r="O25" i="3"/>
  <c r="O24" i="3" s="1"/>
  <c r="P25" i="3"/>
  <c r="P24" i="3" s="1"/>
  <c r="P11" i="3"/>
  <c r="J17" i="3"/>
  <c r="Q17" i="3" s="1"/>
  <c r="J16" i="3"/>
  <c r="Q16" i="3" s="1"/>
  <c r="J15" i="3"/>
  <c r="Q15" i="3" s="1"/>
  <c r="R9" i="7" l="1"/>
  <c r="U11" i="7"/>
  <c r="U9" i="7" s="1"/>
  <c r="S11" i="7"/>
  <c r="S9" i="7" s="1"/>
  <c r="Q14" i="3"/>
  <c r="L12" i="5" s="1"/>
  <c r="K32" i="3"/>
  <c r="M12" i="5" l="1"/>
  <c r="D12" i="5" s="1"/>
  <c r="N12" i="5"/>
  <c r="E12" i="5" s="1"/>
  <c r="H34" i="3"/>
  <c r="J34" i="3" s="1"/>
  <c r="Q34" i="3" s="1"/>
  <c r="H33" i="3"/>
  <c r="J33" i="3" s="1"/>
  <c r="Q33" i="3" s="1"/>
  <c r="J32" i="3"/>
  <c r="K29" i="3"/>
  <c r="K25" i="3" s="1"/>
  <c r="K24" i="3" s="1"/>
  <c r="H30" i="3"/>
  <c r="J30" i="3" s="1"/>
  <c r="Q30" i="3" s="1"/>
  <c r="H29" i="3"/>
  <c r="J29" i="3" s="1"/>
  <c r="Q29" i="3" s="1"/>
  <c r="H28" i="3"/>
  <c r="J28" i="3" s="1"/>
  <c r="Q28" i="3" s="1"/>
  <c r="H27" i="3"/>
  <c r="J26" i="3"/>
  <c r="Q26" i="3" s="1"/>
  <c r="J27" i="3" l="1"/>
  <c r="Q27" i="3" s="1"/>
  <c r="H25" i="3"/>
  <c r="H24" i="3" s="1"/>
  <c r="C12" i="5"/>
  <c r="Q32" i="3"/>
  <c r="Q37" i="3"/>
  <c r="Q36" i="3" s="1"/>
  <c r="L15" i="5"/>
  <c r="J31" i="3"/>
  <c r="O15" i="5" l="1"/>
  <c r="Q15" i="5" s="1"/>
  <c r="J25" i="3"/>
  <c r="J24" i="3" s="1"/>
  <c r="N15" i="5"/>
  <c r="M15" i="5"/>
  <c r="Q31" i="3"/>
  <c r="Q25" i="3" s="1"/>
  <c r="O21" i="3"/>
  <c r="K21" i="3"/>
  <c r="H21" i="3"/>
  <c r="G21" i="3"/>
  <c r="F21" i="3"/>
  <c r="I22" i="3"/>
  <c r="J22" i="3" s="1"/>
  <c r="Q22" i="3" s="1"/>
  <c r="P15" i="5" l="1"/>
  <c r="D15" i="5" s="1"/>
  <c r="Q24" i="3"/>
  <c r="O10" i="5"/>
  <c r="E15" i="5"/>
  <c r="J21" i="3"/>
  <c r="I10" i="3"/>
  <c r="J9" i="3"/>
  <c r="Q9" i="3" s="1"/>
  <c r="P8" i="3"/>
  <c r="P7" i="3" s="1"/>
  <c r="P6" i="3" s="1"/>
  <c r="O8" i="3"/>
  <c r="K8" i="3"/>
  <c r="H8" i="3"/>
  <c r="G8" i="3"/>
  <c r="G7" i="3" s="1"/>
  <c r="G6" i="3" s="1"/>
  <c r="F8" i="3"/>
  <c r="J10" i="3" l="1"/>
  <c r="Q10" i="3" s="1"/>
  <c r="Q21" i="3"/>
  <c r="L16" i="5" s="1"/>
  <c r="Q10" i="5"/>
  <c r="E10" i="5" s="1"/>
  <c r="P10" i="5"/>
  <c r="D10" i="5" s="1"/>
  <c r="O9" i="5"/>
  <c r="C15" i="5"/>
  <c r="H13" i="3"/>
  <c r="J13" i="3" s="1"/>
  <c r="Q13" i="3" s="1"/>
  <c r="F13" i="3"/>
  <c r="F11" i="3" s="1"/>
  <c r="F7" i="3" s="1"/>
  <c r="F6" i="3" s="1"/>
  <c r="O12" i="3"/>
  <c r="O11" i="3" s="1"/>
  <c r="O7" i="3" s="1"/>
  <c r="O6" i="3" s="1"/>
  <c r="H12" i="3"/>
  <c r="N16" i="5" l="1"/>
  <c r="E16" i="5" s="1"/>
  <c r="M16" i="5"/>
  <c r="D16" i="5" s="1"/>
  <c r="C10" i="5"/>
  <c r="J12" i="3"/>
  <c r="Q12" i="3" s="1"/>
  <c r="H11" i="3"/>
  <c r="H7" i="3" s="1"/>
  <c r="H6" i="3" s="1"/>
  <c r="K13" i="3"/>
  <c r="K11" i="3" s="1"/>
  <c r="K7" i="3" s="1"/>
  <c r="K6" i="3" s="1"/>
  <c r="J8" i="3"/>
  <c r="C16" i="5" l="1"/>
  <c r="Q8" i="3"/>
  <c r="J11" i="3"/>
  <c r="Q11" i="3" s="1"/>
  <c r="L14" i="5" s="1"/>
  <c r="L11" i="5" l="1"/>
  <c r="M11" i="5" s="1"/>
  <c r="D11" i="5" s="1"/>
  <c r="Q7" i="3"/>
  <c r="Q6" i="3" s="1"/>
  <c r="J7" i="3"/>
  <c r="J6" i="3" s="1"/>
  <c r="N14" i="5"/>
  <c r="E14" i="5" s="1"/>
  <c r="M14" i="5"/>
  <c r="D14" i="5" s="1"/>
  <c r="K57" i="1"/>
  <c r="K56" i="1"/>
  <c r="K55" i="1"/>
  <c r="K53" i="1"/>
  <c r="K52" i="1"/>
  <c r="K51" i="1"/>
  <c r="K50" i="1"/>
  <c r="K49" i="1"/>
  <c r="E49" i="1"/>
  <c r="K48" i="1"/>
  <c r="K47" i="1"/>
  <c r="K46" i="1"/>
  <c r="K45" i="1"/>
  <c r="K44" i="1"/>
  <c r="K43" i="1"/>
  <c r="K42" i="1"/>
  <c r="K41" i="1"/>
  <c r="K40" i="1"/>
  <c r="K39" i="1"/>
  <c r="K38" i="1"/>
  <c r="K36" i="1"/>
  <c r="K35" i="1"/>
  <c r="K34" i="1"/>
  <c r="K33" i="1"/>
  <c r="K32" i="1"/>
  <c r="K31" i="1"/>
  <c r="K30" i="1"/>
  <c r="K29" i="1"/>
  <c r="K27" i="1"/>
  <c r="K26" i="1"/>
  <c r="K25" i="1"/>
  <c r="K24" i="1"/>
  <c r="K23" i="1"/>
  <c r="K22" i="1"/>
  <c r="K21" i="1"/>
  <c r="K20" i="1"/>
  <c r="K19" i="1"/>
  <c r="K18" i="1"/>
  <c r="K17" i="1"/>
  <c r="J16" i="1"/>
  <c r="K16" i="1" s="1"/>
  <c r="K15" i="1"/>
  <c r="K14" i="1"/>
  <c r="K13" i="1"/>
  <c r="I12" i="1"/>
  <c r="G12" i="1"/>
  <c r="K10" i="1"/>
  <c r="N11" i="5" l="1"/>
  <c r="E11" i="5" s="1"/>
  <c r="C11" i="5" s="1"/>
  <c r="C14" i="5"/>
  <c r="K54" i="1"/>
  <c r="K37" i="1"/>
  <c r="K28" i="1"/>
  <c r="K12" i="1"/>
  <c r="K11" i="1" s="1"/>
  <c r="Q9" i="5"/>
  <c r="P9" i="5"/>
  <c r="M13" i="5"/>
  <c r="D13" i="5" s="1"/>
  <c r="M17" i="5"/>
  <c r="L9" i="5"/>
  <c r="N9" i="5" l="1"/>
  <c r="E9" i="5"/>
  <c r="M9" i="5"/>
  <c r="D17" i="5"/>
  <c r="C17" i="5" s="1"/>
  <c r="C13" i="5"/>
  <c r="D9" i="5" l="1"/>
  <c r="C9" i="5"/>
  <c r="G15" i="6"/>
  <c r="I15" i="6" s="1"/>
  <c r="G81" i="6"/>
  <c r="C81" i="6" s="1"/>
  <c r="C88" i="6"/>
  <c r="C15" i="6" s="1"/>
  <c r="C8" i="6" s="1"/>
  <c r="I81" i="6" l="1"/>
  <c r="G8" i="6"/>
  <c r="I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stc</author>
    <author>hp</author>
  </authors>
  <commentList>
    <comment ref="H12" authorId="0" shapeId="0" xr:uid="{00000000-0006-0000-0100-000001000000}">
      <text>
        <r>
          <rPr>
            <b/>
            <sz val="11"/>
            <color indexed="81"/>
            <rFont val="Segoe UI"/>
            <family val="2"/>
          </rPr>
          <t>Diện tích khu dân cư Nà Vài</t>
        </r>
        <r>
          <rPr>
            <sz val="9"/>
            <color indexed="81"/>
            <rFont val="Segoe UI"/>
            <family val="2"/>
          </rPr>
          <t xml:space="preserve">
</t>
        </r>
      </text>
    </comment>
    <comment ref="I12" authorId="0" shapeId="0" xr:uid="{00000000-0006-0000-0100-000002000000}">
      <text>
        <r>
          <rPr>
            <b/>
            <sz val="12"/>
            <color indexed="81"/>
            <rFont val="Segoe UI"/>
            <family val="2"/>
          </rPr>
          <t>Áp mức giá đất ở cao nhất đối với đất ở tại xã Quang Thuận theo bảng giá đất 06</t>
        </r>
      </text>
    </comment>
    <comment ref="K12" authorId="0" shapeId="0" xr:uid="{00000000-0006-0000-0100-000003000000}">
      <text>
        <r>
          <rPr>
            <b/>
            <sz val="12"/>
            <color indexed="81"/>
            <rFont val="Segoe UI"/>
            <family val="2"/>
          </rPr>
          <t>Diện tích đã thu hồi thực tế năm 2022</t>
        </r>
        <r>
          <rPr>
            <sz val="9"/>
            <color indexed="81"/>
            <rFont val="Segoe UI"/>
            <family val="2"/>
          </rPr>
          <t xml:space="preserve">
</t>
        </r>
      </text>
    </comment>
    <comment ref="O12" authorId="0" shapeId="0" xr:uid="{00000000-0006-0000-0100-000004000000}">
      <text>
        <r>
          <rPr>
            <b/>
            <sz val="12"/>
            <color indexed="81"/>
            <rFont val="Segoe UI"/>
            <family val="2"/>
          </rPr>
          <t>Số tiền bồi thường đã chi trả thực tế</t>
        </r>
        <r>
          <rPr>
            <sz val="9"/>
            <color indexed="81"/>
            <rFont val="Segoe UI"/>
            <family val="2"/>
          </rPr>
          <t xml:space="preserve">
</t>
        </r>
      </text>
    </comment>
    <comment ref="H13" authorId="0" shapeId="0" xr:uid="{00000000-0006-0000-0100-000005000000}">
      <text>
        <r>
          <rPr>
            <b/>
            <sz val="12"/>
            <color indexed="81"/>
            <rFont val="Segoe UI"/>
            <family val="2"/>
          </rPr>
          <t>Quy hoạch đất ở dọc tuyến đường nội thị thị trấn Phủ Thông</t>
        </r>
      </text>
    </comment>
    <comment ref="I13" authorId="0" shapeId="0" xr:uid="{00000000-0006-0000-0100-000006000000}">
      <text>
        <r>
          <rPr>
            <b/>
            <sz val="12"/>
            <color indexed="81"/>
            <rFont val="Segoe UI"/>
            <family val="2"/>
          </rPr>
          <t>Áp mức giá đất ở như đối với đất Khu dân cư Khuổi Nim</t>
        </r>
      </text>
    </comment>
    <comment ref="B16" authorId="1" shapeId="0" xr:uid="{00000000-0006-0000-0100-000007000000}">
      <text>
        <r>
          <rPr>
            <b/>
            <sz val="11"/>
            <color indexed="81"/>
            <rFont val="Tahoma"/>
            <family val="2"/>
          </rPr>
          <t>stc:</t>
        </r>
        <r>
          <rPr>
            <sz val="11"/>
            <color indexed="81"/>
            <rFont val="Tahoma"/>
            <family val="2"/>
          </rPr>
          <t xml:space="preserve">
Ước lại theo biểu của thuế</t>
        </r>
      </text>
    </comment>
    <comment ref="Q16" authorId="2" shapeId="0" xr:uid="{00000000-0006-0000-0100-000008000000}">
      <text>
        <r>
          <rPr>
            <b/>
            <sz val="9"/>
            <color indexed="81"/>
            <rFont val="Tahoma"/>
            <family val="2"/>
          </rPr>
          <t>hp:</t>
        </r>
        <r>
          <rPr>
            <sz val="9"/>
            <color indexed="81"/>
            <rFont val="Tahoma"/>
            <family val="2"/>
          </rPr>
          <t xml:space="preserve">
Dự kiến thu 40%
</t>
        </r>
      </text>
    </comment>
    <comment ref="Q17" authorId="2" shapeId="0" xr:uid="{00000000-0006-0000-0100-000009000000}">
      <text>
        <r>
          <rPr>
            <b/>
            <sz val="9"/>
            <color indexed="81"/>
            <rFont val="Tahoma"/>
            <family val="2"/>
          </rPr>
          <t>hp:</t>
        </r>
        <r>
          <rPr>
            <sz val="9"/>
            <color indexed="81"/>
            <rFont val="Tahoma"/>
            <family val="2"/>
          </rPr>
          <t xml:space="preserve">
Dự kiến thu 50%</t>
        </r>
      </text>
    </comment>
    <comment ref="Q22" authorId="2" shapeId="0" xr:uid="{00000000-0006-0000-0100-00000A000000}">
      <text>
        <r>
          <rPr>
            <b/>
            <sz val="9"/>
            <color indexed="81"/>
            <rFont val="Tahoma"/>
            <family val="2"/>
          </rPr>
          <t>hp:</t>
        </r>
        <r>
          <rPr>
            <sz val="9"/>
            <color indexed="81"/>
            <rFont val="Tahoma"/>
            <family val="2"/>
          </rPr>
          <t xml:space="preserve">
lấy 50%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stc</author>
  </authors>
  <commentList>
    <comment ref="F73" authorId="0" shapeId="0" xr:uid="{00000000-0006-0000-0200-000001000000}">
      <text>
        <r>
          <rPr>
            <b/>
            <sz val="11"/>
            <color indexed="81"/>
            <rFont val="Tahoma"/>
            <family val="2"/>
          </rPr>
          <t>stc:</t>
        </r>
        <r>
          <rPr>
            <sz val="11"/>
            <color indexed="81"/>
            <rFont val="Tahoma"/>
            <family val="2"/>
          </rPr>
          <t xml:space="preserve">
Theo dự kiến trao</t>
        </r>
      </text>
    </comment>
    <comment ref="F81" authorId="0" shapeId="0" xr:uid="{00000000-0006-0000-0200-000002000000}">
      <text>
        <r>
          <rPr>
            <b/>
            <sz val="11"/>
            <color indexed="81"/>
            <rFont val="Tahoma"/>
            <family val="2"/>
          </rPr>
          <t>stc:</t>
        </r>
        <r>
          <rPr>
            <sz val="11"/>
            <color indexed="81"/>
            <rFont val="Tahoma"/>
            <family val="2"/>
          </rPr>
          <t xml:space="preserve">
chỉnh lại theo BC 394 của UBND TPBK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stc</author>
  </authors>
  <commentList>
    <comment ref="I25" authorId="0" shapeId="0" xr:uid="{00000000-0006-0000-0400-000001000000}">
      <text>
        <r>
          <rPr>
            <b/>
            <sz val="11"/>
            <color indexed="81"/>
            <rFont val="Tahoma"/>
            <family val="2"/>
          </rPr>
          <t>stc:</t>
        </r>
        <r>
          <rPr>
            <sz val="11"/>
            <color indexed="81"/>
            <rFont val="Tahoma"/>
            <family val="2"/>
          </rPr>
          <t xml:space="preserve">
tăng thêm 14 tỷ</t>
        </r>
      </text>
    </comment>
    <comment ref="L28" authorId="0" shapeId="0" xr:uid="{00000000-0006-0000-0400-000002000000}">
      <text>
        <r>
          <rPr>
            <b/>
            <sz val="11"/>
            <color indexed="81"/>
            <rFont val="Tahoma"/>
            <family val="2"/>
          </rPr>
          <t>stc:</t>
        </r>
        <r>
          <rPr>
            <sz val="11"/>
            <color indexed="81"/>
            <rFont val="Tahoma"/>
            <family val="2"/>
          </rPr>
          <t xml:space="preserve">
tăng thêm 30 tỷ chưa có dự án chi tiết</t>
        </r>
      </text>
    </comment>
  </commentList>
</comments>
</file>

<file path=xl/sharedStrings.xml><?xml version="1.0" encoding="utf-8"?>
<sst xmlns="http://schemas.openxmlformats.org/spreadsheetml/2006/main" count="660" uniqueCount="271">
  <si>
    <t>TT</t>
  </si>
  <si>
    <t>HẠNG MỤC</t>
  </si>
  <si>
    <t>Địa điểm (đến cấp xã)</t>
  </si>
  <si>
    <t xml:space="preserve">Mã </t>
  </si>
  <si>
    <t>Quy hoạch (ha)</t>
  </si>
  <si>
    <t>Hiện trạng (ha)</t>
  </si>
  <si>
    <t>Diện tích tính thu tiền sử dụng đất (ha)</t>
  </si>
  <si>
    <t>Diện tích dự kiến (ha)</t>
  </si>
  <si>
    <t>Giá dự kiến (Trđ/m2)</t>
  </si>
  <si>
    <t>Ước tỷ lệ %</t>
  </si>
  <si>
    <t>Thành tiền (Dự kiến) Tỷ đồng</t>
  </si>
  <si>
    <t>A</t>
  </si>
  <si>
    <t>THÀNH PHỐ</t>
  </si>
  <si>
    <t>I</t>
  </si>
  <si>
    <t>DỰ ÁN ĐẦU TƯ TỪ NSNN</t>
  </si>
  <si>
    <t>Xây dựng khu tái định cư, thuộc dự án chương trình Đô thị miền núi phía Bắc, giai đoạn II</t>
  </si>
  <si>
    <t>Phường Nguyễn Thị Minh Khai, xã Dương Quang</t>
  </si>
  <si>
    <t>ODT+ ONT</t>
  </si>
  <si>
    <t>II</t>
  </si>
  <si>
    <t>DỰ ÁN ĐẦU TƯ NGOÀI NSNN</t>
  </si>
  <si>
    <t xml:space="preserve">Khu đất và Sở văn hóa, Thể thao Du lịch tỉnh Bắc Kạn  và  Đoàn Nghệ thuật Dân tộc tỉnh Bắc Kạn </t>
  </si>
  <si>
    <t>Phường Đức Xuân</t>
  </si>
  <si>
    <t>TMD+ODT+DGT</t>
  </si>
  <si>
    <t xml:space="preserve"> Khu dân cư sau đồi Tỉnh ủy (Phần diện tích đã GPMB, thực hiện đấu giá)</t>
  </si>
  <si>
    <t>Phường Phùng Chí Kiên, Sông Cầu và xã Nông Thượng</t>
  </si>
  <si>
    <t>ODT</t>
  </si>
  <si>
    <t xml:space="preserve"> Khu đô thị Bắc Sông Cầu (Phần diện tích đã GPMB, thực hiện đấu giá)</t>
  </si>
  <si>
    <t>Xã Dương Quang</t>
  </si>
  <si>
    <t>Khu đất trụ sở UBND  phường Sông Cầu</t>
  </si>
  <si>
    <t>Phường Sông Cầu</t>
  </si>
  <si>
    <t>TMD</t>
  </si>
  <si>
    <t>Khu đất trường Mầm non Đức Xuân</t>
  </si>
  <si>
    <t>Khu đô thị Bắc Sông Cầu (Khu đất ở)</t>
  </si>
  <si>
    <t>Phường Nguyễn Thị Minh Khai, phường Huyền Tụng, xã Dương Quang</t>
  </si>
  <si>
    <t>ODT+ONT</t>
  </si>
  <si>
    <t>Khu dân cư sau đồi Tỉnh ủy (Khu đất ở)</t>
  </si>
  <si>
    <t>Phường Phùng Chí Kiên, phường Sông Cầu, xã Nông Thượng</t>
  </si>
  <si>
    <t>Khu dân cư tổ 1B và tổ 4 P. Đức Xuân (KDC Đức Xuân 4)</t>
  </si>
  <si>
    <t>Xây dựng khu dân cư Thôm Dầy, phường Sông Cầu</t>
  </si>
  <si>
    <t>Đầu tư xây dựng hạ tầng kỹ thuật khu dân cư đô thị tại tổ Xây dựng và tổ Pá Danh</t>
  </si>
  <si>
    <t>Phường Huyền Tụng</t>
  </si>
  <si>
    <t>Dự án khu đô thị nhà ở dân cư thu nhập thấp (Nay là dự án Khu dân cư Central Hill Bắc Kạn)</t>
  </si>
  <si>
    <t>7,4</t>
  </si>
  <si>
    <t>Khu tái định cư sau đồi tỉnh ủy, phường Phùng Chí Kiên, thành phố Bắc Kạn (Khu dân cư số 1 phường Phùng Chí Kiên)</t>
  </si>
  <si>
    <t>Phường Phùng Chí Kiên</t>
  </si>
  <si>
    <t>B</t>
  </si>
  <si>
    <t>CHỢ ĐỒN</t>
  </si>
  <si>
    <t>1</t>
  </si>
  <si>
    <t xml:space="preserve">Công trình di dời khẩn cấp 16 hộ dân tại vùng sạt lở thôn Phiêng Liềng 2 </t>
  </si>
  <si>
    <t>Xã Ngọc Phái</t>
  </si>
  <si>
    <t>ONT</t>
  </si>
  <si>
    <t>2</t>
  </si>
  <si>
    <t>Bố trí tái định cư (hợp phần bồi thường, hỗ trợ và tái định cư). Dự án: Mở rộng, nâng cấp ĐT254 tại thôn Bản Mạ</t>
  </si>
  <si>
    <t>Xã Quảng Bạch</t>
  </si>
  <si>
    <t>Khu dân cư tổ 7 thị trấn Bằng Lũng</t>
  </si>
  <si>
    <t>TT Bằng Lũng</t>
  </si>
  <si>
    <t>Dự án đầu tư xây dựng hạ tầng kỹ thuật khu dân cư đô thị tại tổ 1A và 2A thị trấn Bằng Lũng, huyện Chợ Đồn</t>
  </si>
  <si>
    <t>3</t>
  </si>
  <si>
    <t>Khu dân cư tổ 9 thị trấn Bằng Lũng</t>
  </si>
  <si>
    <t>C</t>
  </si>
  <si>
    <t>BA BỂ</t>
  </si>
  <si>
    <t>Đất ở TĐC cho dự án mở rộng đường 258 thành quốc lộ 3C</t>
  </si>
  <si>
    <t>Dự án đầu tư xây dựng Vùng nguy cơ sạt lở cao thị trấn Chợ Rã, huyện Ba Bể, tỉnh Bắc Kạn</t>
  </si>
  <si>
    <t>TT Chợ Rã</t>
  </si>
  <si>
    <t>Đấu giá quyền sử dụng đất ở khu xây dựng dự án sạt lở cao Tiểu khu 4</t>
  </si>
  <si>
    <t>Dự án di dân Tái định cư thôn Đông Dăm</t>
  </si>
  <si>
    <t>Thôn Đông Đăm xã Hà Hiệu</t>
  </si>
  <si>
    <t>Dự án di dân Tái định cư thôn Lủng Cháng</t>
  </si>
  <si>
    <t>Khu đô thị tiểu khu 3 thị trấn Chợ Rã (QM 30ha; đất ở 50%)</t>
  </si>
  <si>
    <t>Khu dân cư thị trấn Chợ Rã (QM 17ha; đất ở 45%)</t>
  </si>
  <si>
    <t>Khu đô thị trung tâm thị trấn Chợ Rã (QM 20ha, đất ở 50%)</t>
  </si>
  <si>
    <t>Khu tổ hợp văn hóa đa năng Khang Ninh Ba Bể (FLC) (QM 192ha; đất ở 15%)</t>
  </si>
  <si>
    <t>xã Khang Ninh huyện Ba Bể</t>
  </si>
  <si>
    <t>Khu nghỉ dưỡng sinh thái Onsen Khang Ninh (QM 90ha; đất ở 25%)</t>
  </si>
  <si>
    <t>Khu nghỉ dưỡng sinh thái Onsen Đồng Phúc (QM 300ha; đất ở 15%)</t>
  </si>
  <si>
    <t>Xã Đồng Phúc huyện Ba Bể</t>
  </si>
  <si>
    <t>Khu thương mại dịch vụ Khang Ninh (QM 40ha; đất ở 15%)</t>
  </si>
  <si>
    <t>Khu tổ hợp dịch vụ Quảng Khê (QM 400ha; đất ở 15%)</t>
  </si>
  <si>
    <t>Xã Quảng Khê huyện Ba Bể</t>
  </si>
  <si>
    <t>Khu dịch vụ tổ hợp Đồng Phúc (QM 300ha; đất ở 15%)</t>
  </si>
  <si>
    <t>Khu tổ hợp dịch vụ Hoàng Trĩ (QM 100ha; đất ở 10%)</t>
  </si>
  <si>
    <t>Xã Hoàng Trĩ huyện Ba Bể</t>
  </si>
  <si>
    <t>D</t>
  </si>
  <si>
    <t>CHỢ MỚI</t>
  </si>
  <si>
    <t xml:space="preserve">Bố trí sắp xếp ổn định xen ghép dân cư tại chỗ thôn đặc biệt khó khăn Bản Cháo- Thái Lạo- xã Yên Cư huyện Chợ Mới </t>
  </si>
  <si>
    <t>Xã Yên Cư</t>
  </si>
  <si>
    <t>Chuyển tiếp</t>
  </si>
  <si>
    <t>Xây dựng hạ tầng vùng dân cư đặc biệt khó khăn, có nguy cơ sạt lở cao thôn bản Cháo, xã Yên Cư, huyện Chợ Mới</t>
  </si>
  <si>
    <t>2021-2030</t>
  </si>
  <si>
    <t>Đăng ký mới</t>
  </si>
  <si>
    <t>Khu tái định cư phục vụ GPMB Khu công nghiệp Thanh Bình tỉnh Bắc Kạn - Giai đoạn II xã Thanh Thịnh</t>
  </si>
  <si>
    <t>Xã Thanh Thịnh</t>
  </si>
  <si>
    <t>Dự án Khu dân cư Khu công nghiệp Thanh Bình, huyện Chợ Mới, tỉnh Bắc Kạn</t>
  </si>
  <si>
    <t>Khu tái định cư thôn Đèo Vai 2 xã Quảng Chu</t>
  </si>
  <si>
    <t>Xã Quảng Chu</t>
  </si>
  <si>
    <t>Giá dự kiến đã trừ đi chi phí BTGPMB và XD hạ tầng kỹ thuật</t>
  </si>
  <si>
    <t>TÊN DỰ ÁN</t>
  </si>
  <si>
    <t>Địa điểm xây dựng (đến cấp xã)</t>
  </si>
  <si>
    <t>Diện tích đất dự án (mặt bằng xây dựng DA)</t>
  </si>
  <si>
    <t>Dự kiến chi phí giải phóng mặt bằng</t>
  </si>
  <si>
    <t>DỰ ÁN KHÔNG SỬ DỤNG VỐN NSNN</t>
  </si>
  <si>
    <t>Thành tiền (triệu đồng)</t>
  </si>
  <si>
    <t>Ghi chú: (1*) Đơn giá dự kiến: Lấy theo đơn giá trong dự án được cấp có thẩm quyền phê duyệt hoặc đơn giá của loại đất thuộc vị trí tuyến đường tương đương</t>
  </si>
  <si>
    <t>(2*) dự kiến chí phí bồi thường và chi phí đầu tư xây dựng CSHT phải di chuyển lấy theo số tạm tính trong dự án đầu tư được cấp có thẩm quyền phê duyệt; trường hợp chưa được phê duyệt lấy bằng 90% giá đề xuất trong dự án</t>
  </si>
  <si>
    <t>Đơn vị tính: Triệu đồng</t>
  </si>
  <si>
    <t>Huyện, thành phố</t>
  </si>
  <si>
    <t>TỔNG SỐ</t>
  </si>
  <si>
    <t>Thành phố Bắc Kạn</t>
  </si>
  <si>
    <t>Huyện Pác Nặm</t>
  </si>
  <si>
    <t>Huyện Ba Bể</t>
  </si>
  <si>
    <t>Huyện Ngân Sơn</t>
  </si>
  <si>
    <t>Huyện Bạch Thông</t>
  </si>
  <si>
    <t>Huyện Chợ Đồn</t>
  </si>
  <si>
    <t>Huyện Chợ Mới</t>
  </si>
  <si>
    <t>Huyện Na Rì</t>
  </si>
  <si>
    <t>Thời gian thực hiện</t>
  </si>
  <si>
    <t>2021-2025</t>
  </si>
  <si>
    <t>Xây dựng hạ tầng trung tâm huyện Pác Nặm</t>
  </si>
  <si>
    <t>Xây dựng cơ sở hạ tầng theo quy hoạch khu Bó Lục, xã Bộc Bố, huyện Pác Nặm</t>
  </si>
  <si>
    <t>Xã Bộc Bố huyện Pác Nặm</t>
  </si>
  <si>
    <t>2022-2024</t>
  </si>
  <si>
    <t>Dự án: Đường nội thị, thị trấn Đồng Tâm</t>
  </si>
  <si>
    <t>Thị trấn Đồng Tâm</t>
  </si>
  <si>
    <t>Dự án Sân thể thao, tạo mặt bằng Trạm Y tế, khu dân cư Nà Vài xã Quang Thuận</t>
  </si>
  <si>
    <t>Xã Quang Thuận</t>
  </si>
  <si>
    <t>DTT+DYT
+ONT</t>
  </si>
  <si>
    <t>0,58</t>
  </si>
  <si>
    <t>Khu dân cư Khuổi Nim, thị trấn PT giai đoạn 2, huyện Bạch Thông</t>
  </si>
  <si>
    <t>TT. Phủ Thông</t>
  </si>
  <si>
    <t>2022-2025</t>
  </si>
  <si>
    <t>Khu tập thể Tổng Tò</t>
  </si>
  <si>
    <t>2022-2023</t>
  </si>
  <si>
    <t>Khu đô thị Bắc Sông Cầu (Phần diện tích đã GPMB)</t>
  </si>
  <si>
    <t>Khu dân cư sau đồi Tỉnh ủy (Phần diện tích đã GPMB)</t>
  </si>
  <si>
    <t>2018-2025</t>
  </si>
  <si>
    <t>2019-2025</t>
  </si>
  <si>
    <t>34 tỷ đồng</t>
  </si>
  <si>
    <t>Khu dân cư Đức Xuân 4</t>
  </si>
  <si>
    <t>2020-2022</t>
  </si>
  <si>
    <t xml:space="preserve">Khu dân cư Central Hill </t>
  </si>
  <si>
    <t>7,8</t>
  </si>
  <si>
    <t>Dự án phát triển đô thị tuyến đường tránh cụm Công Nghiệp Huyền Tụng</t>
  </si>
  <si>
    <t>2020-2023</t>
  </si>
  <si>
    <t>Tổ 1A phường Đức Xuân và tổ Bản Vẻn, phường Huyền Tụng</t>
  </si>
  <si>
    <t>1.1</t>
  </si>
  <si>
    <t>1.2</t>
  </si>
  <si>
    <t>1.3</t>
  </si>
  <si>
    <t>1.4</t>
  </si>
  <si>
    <t>Đơn giá dự kiến (triệu đồng/m2) (1*)</t>
  </si>
  <si>
    <t>Dự án Khu dân cư tổ 7, thị trấn Bằng Lũng</t>
  </si>
  <si>
    <t>2018-2022</t>
  </si>
  <si>
    <t>2.1</t>
  </si>
  <si>
    <t>Dự án: Đầu tư xây dựng hạ tầng kỹ thuật Khu dân cư đô thị tại Tổ 1 và Tổ 2A thị trấn Bằng Lũng, huyện Chợ Đồn (Đợt 2)</t>
  </si>
  <si>
    <t>4290; 6810</t>
  </si>
  <si>
    <t>3.1</t>
  </si>
  <si>
    <t>3.2</t>
  </si>
  <si>
    <t>4.1</t>
  </si>
  <si>
    <t>Khu đô thị thị trấn Chợ Rã (phần đất dọc quốc lộ 279)</t>
  </si>
  <si>
    <t>Thị trấn Chợ Rã</t>
  </si>
  <si>
    <t>Dự án vùng nguy cơ sạt lở cao thị trấn Chợ Rã</t>
  </si>
  <si>
    <t>1.5</t>
  </si>
  <si>
    <t>1.6</t>
  </si>
  <si>
    <t>1.7</t>
  </si>
  <si>
    <t>1.8</t>
  </si>
  <si>
    <t>1.9</t>
  </si>
  <si>
    <t>Khu tái định cư sau đồi Tỉnh ủy, phường Phùng Chí Kiên, thành phố Bắc Kạn (Chưa GPMB)</t>
  </si>
  <si>
    <t>Biểu số 03</t>
  </si>
  <si>
    <t>DỰ KIẾN NGUỒN THU TIỀN SỬ DỤNG ĐẤT GIAI ĐOẠN 2021-2025</t>
  </si>
  <si>
    <t>Tổng số</t>
  </si>
  <si>
    <t>Cấp tỉnh</t>
  </si>
  <si>
    <t>Cấp huyện</t>
  </si>
  <si>
    <t>Dự kiến phân chia</t>
  </si>
  <si>
    <t>Khu đô thị Bắc Sông Cầu phân khu A (chưa GPMB)</t>
  </si>
  <si>
    <t>(i) Thu tiền sử dụng đất từ các tổ chức, hộ gia đình, cá nhân khi thực hiện: Giao đất thông qua hình thức đấu giá quyền sử dụng đất; giao đất không qua đấu giá; chuyển mục đích sử dụng đất;p công nhận quyền sử dụng đất</t>
  </si>
  <si>
    <t xml:space="preserve">(iia) Tiền thu sử dụng đất từ quỹ đất 2 bên đường DA sử dụng ngân sách tỉnh </t>
  </si>
  <si>
    <t>(iib) Tiền thu sử dụng đất từ quỹ đất 2 bên đường DA sử dụng ngân sách huyện (4.2a)</t>
  </si>
  <si>
    <t>(iii) Tiền thu sử dụng đất từ DA ngoài ngân sách</t>
  </si>
  <si>
    <t>Dự kiến thu tiền sử dụng đất giai đoạn 2021-2025, trong đó:</t>
  </si>
  <si>
    <t>Dự kiến nguồn thu tiền sử dụng đất trên địa bàn tỉnh giai đoạn 2022 - 2025</t>
  </si>
  <si>
    <t>III</t>
  </si>
  <si>
    <t>Dự kiến thu giai đoạn 2021 - 2025</t>
  </si>
  <si>
    <t>Số dự toán</t>
  </si>
  <si>
    <t>Ghi chú</t>
  </si>
  <si>
    <t>Năm 2021</t>
  </si>
  <si>
    <t>Năm 2022</t>
  </si>
  <si>
    <t>Ước thực hiện năm 2023</t>
  </si>
  <si>
    <t>Kế hoạch thu giai đoạn 2024 - 2025</t>
  </si>
  <si>
    <t>(khoản thu tiền sử dụng đất từ các tổ chức, hộ gia đình, cá nhân khi thực hiện: giao đất thông qua hình thức đấu giá quyền sử dụng đất; giao đất không qua đấu giá; chuyển mục đích sử dụng đất; công nhận quyền sử dụng đất)  (*)</t>
  </si>
  <si>
    <t>Dự kiến thu NSNN (theo kết quả rà soát năm 2022)</t>
  </si>
  <si>
    <t>Dự kiến thu NSNN (theo kết quả rà soát năm 2023)</t>
  </si>
  <si>
    <t>Số thực hiện của khoản thu</t>
  </si>
  <si>
    <t xml:space="preserve">TỔNG CỘNG </t>
  </si>
  <si>
    <t>Thu từ nhỏ lẻ</t>
  </si>
  <si>
    <t>a</t>
  </si>
  <si>
    <t>Giao đất thông qua hình thức đấu giá quyền sử dụng đất</t>
  </si>
  <si>
    <t>b</t>
  </si>
  <si>
    <t>Giao đất không qua đấu giá</t>
  </si>
  <si>
    <t>c</t>
  </si>
  <si>
    <t>Chuyển mục đích sử dụng đất</t>
  </si>
  <si>
    <t>d</t>
  </si>
  <si>
    <t>Công nhận quyền sử dụng đất</t>
  </si>
  <si>
    <t>Thu nợ tiền sử dụng đất các năm trước</t>
  </si>
  <si>
    <t>Thu từ dự án</t>
  </si>
  <si>
    <t>e</t>
  </si>
  <si>
    <t>Vùng nguy cơ sạt lở cao TT Chợ Rã, huyện Ba Bể</t>
  </si>
  <si>
    <t>Khu tái định cư thôn Khâu Ban, xã Khang Ninh</t>
  </si>
  <si>
    <t>IV</t>
  </si>
  <si>
    <t>V</t>
  </si>
  <si>
    <t>VI</t>
  </si>
  <si>
    <t>VII</t>
  </si>
  <si>
    <t>Bạch Thông</t>
  </si>
  <si>
    <t>VIII</t>
  </si>
  <si>
    <t>IX</t>
  </si>
  <si>
    <t>Cục Thuế tỉnh</t>
  </si>
  <si>
    <t xml:space="preserve">DỰ ÁN ĐẦU TƯ TỪ NGUỒN NSNN </t>
  </si>
  <si>
    <t>đầu tư từ 70% tổng mức đầu tư bằng nguồn  NSTW, NS tỉnh, bao gồm cả dự án đầu tư bằng vốn vay sau đó hoàn trả bằng ngân sách cấp huyện</t>
  </si>
  <si>
    <t>Ngân sách huyện đầu tư trên 30% tổng mức đầu tư, bao gồm cả dự án đầu tư bằng vốn vay sau đó hoàn trả bằng ngân sách cấp huyện</t>
  </si>
  <si>
    <t>Ngân sách huyện đầu tư trên 30% tổng mức đầu tư, bao gồm cả dự án đầu tư bằng vốn vay sau đó hoàn Ntrả bằng ngân sách cấp huyện</t>
  </si>
  <si>
    <t>Huyện Chợ Đồn báo cáo không kịp thực hiện trong giai đoạn 2021-2025</t>
  </si>
  <si>
    <t>Xã Khang Ninh</t>
  </si>
  <si>
    <t>2023-2025</t>
  </si>
  <si>
    <t>Dự kiến nguồn thu tiền sử dụng đất trên địa bàn tỉnh giai đoạn 2021 - 2025</t>
  </si>
  <si>
    <t>1.10</t>
  </si>
  <si>
    <t>4.2</t>
  </si>
  <si>
    <t>Thu từ các dự án đã thực hiện năm 2021</t>
  </si>
  <si>
    <t>CHI TIẾT TỪNG ĐỊA PHƯƠNG</t>
  </si>
  <si>
    <t>TỔNG CỘNG</t>
  </si>
  <si>
    <t>13 = 10%</t>
  </si>
  <si>
    <t>Bố trí 10% chi cho công tác đo đạc, lập cơ sở dữ liệu hồ sơ địa chính và cấp giấy chứng nhận quyền sử dụng đất</t>
  </si>
  <si>
    <t>Dự kiến hoạch vốn đầu tư công nguồn thu tiền sử dụng đất giai đoạn 2021 – 2025</t>
  </si>
  <si>
    <t>Dự toán năm 2024</t>
  </si>
  <si>
    <t>Dự toán năm 2025</t>
  </si>
  <si>
    <t>1=2+3+4+5+6</t>
  </si>
  <si>
    <t>16=3-13</t>
  </si>
  <si>
    <t>14=15+16</t>
  </si>
  <si>
    <t>ĐVT: Triệu đồng</t>
  </si>
  <si>
    <t>(ii) Tiền thu sử dụng đất từ DA ngoài ngân sách</t>
  </si>
  <si>
    <t xml:space="preserve">(ii) Tiền thu sử dụng đất từ quỹ đất 2 bên đường DA sử dụng ngân sách </t>
  </si>
  <si>
    <t>1=2+3</t>
  </si>
  <si>
    <t>4=5+6</t>
  </si>
  <si>
    <t>7=8+9</t>
  </si>
  <si>
    <t>10=11+12</t>
  </si>
  <si>
    <t>Chi tiết theo biểu 01</t>
  </si>
  <si>
    <t>(Kèm theo Biên bản cuộc họp ngày 19/10/2023 thống nhất dự kiến nguồn thu tiền sử dụng đất)</t>
  </si>
  <si>
    <t>Dự kiến phân chia năm 2024</t>
  </si>
  <si>
    <t>Dự kiến phân chia năm 2025</t>
  </si>
  <si>
    <t>Tổng cộng</t>
  </si>
  <si>
    <t>Dự kiến nguồn thu tiền sử dụng đất trên địa bàn tỉnh năm 2023</t>
  </si>
  <si>
    <t xml:space="preserve">DỰ ÁN không sử dụng NGUỒN NSNN </t>
  </si>
  <si>
    <t>I. Dự kiến phân chia năm 2023</t>
  </si>
  <si>
    <t>Dự kiến nguồn thu tiền sử dụng đất trên địa bàn tỉnh năm 2024</t>
  </si>
  <si>
    <t>Dự kiến nguồn thu tiền sử dụng đất trên địa bàn tỉnh năm 2025</t>
  </si>
  <si>
    <t>Phân chia 2023 -2025</t>
  </si>
  <si>
    <t>Còn lại</t>
  </si>
  <si>
    <t>Khu đất dịch vụ thương mại dự kiến để dành cho các nhà đầu tư (khoảng 10.000m2)</t>
  </si>
  <si>
    <t xml:space="preserve">Hạ tầng kỹ thuật Trung tâm thị trấn Chợ Rã </t>
  </si>
  <si>
    <t>Khu đất đã thu hồi giáp hộ ông Hoàng Văn Quyết - La Quốc Huyên thuê đến cổng ngang dọc đường 279; khu đất đã thu hồi giáp hộ Hứa Đức Tôn - Nà Khuổi dọc QL 279</t>
  </si>
  <si>
    <t>2.2</t>
  </si>
  <si>
    <t>Các dự án khác (huyện không chi tiết từng dự án bao nhiêu)</t>
  </si>
  <si>
    <t>Dự ước thu tiền sử dụng đất chi tiết theo từng năm</t>
  </si>
  <si>
    <t>Dự kiến năm 2024</t>
  </si>
  <si>
    <t>Thu từ các dự án khác</t>
  </si>
  <si>
    <t>DỰ KIẾN THU TIỀN SỬ DỤNG ĐẤT TRÊN ĐỊA BÀN CÁC HUYỆN, THÀNH PHỐ NĂM 2024</t>
  </si>
  <si>
    <t>TỔNG HỢP THÔNG TIN, SỐ LIỆU CÁC DỰ ÁN ĐẦU TƯ CÓ NGUỒN THU TIỀN SỬ DỤNG ĐẤT NĂM 2024</t>
  </si>
  <si>
    <t>4.3</t>
  </si>
  <si>
    <t>4.4</t>
  </si>
  <si>
    <t>4.5</t>
  </si>
  <si>
    <t>4.6</t>
  </si>
  <si>
    <t>5.1</t>
  </si>
  <si>
    <t>5.2</t>
  </si>
  <si>
    <t>(Kèm theo Báo cáo số 832/BC-UBND ngày 04/12/2023 của UBND tỉnh Bắc Kạn)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</si>
</sst>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 _₫_-;\-* #,##0.00\ _₫_-;_-* &quot;-&quot;??\ _₫_-;_-@_-"/>
    <numFmt numFmtId="165" formatCode="#,##0;[Red]#,##0"/>
    <numFmt numFmtId="166" formatCode="#,##0.0"/>
    <numFmt numFmtId="167" formatCode="_(* #,##0_);_(* \(#,##0\);_(* &quot;-&quot;??_);_(@_)"/>
    <numFmt numFmtId="168" formatCode="[&lt;=9999999]###\-####;\(###\)\ ###\-####"/>
    <numFmt numFmtId="169" formatCode="0.0"/>
    <numFmt numFmtId="170" formatCode="_-* #,##0\ _₫_-;\-* #,##0\ _₫_-;_-* &quot;-&quot;??\ _₫_-;_-@_-"/>
  </numFmts>
  <fonts count="38" x14ac:knownFonts="1">
    <font>
      <sz val="12"/>
      <color theme="1"/>
      <name val="Times New Roman"/>
      <family val="2"/>
      <charset val="163"/>
    </font>
    <font>
      <sz val="12"/>
      <color theme="1"/>
      <name val="Times New Roman"/>
      <family val="2"/>
      <charset val="163"/>
    </font>
    <font>
      <sz val="11"/>
      <color theme="1"/>
      <name val="Calibri"/>
      <family val="2"/>
      <scheme val="minor"/>
    </font>
    <font>
      <b/>
      <sz val="12"/>
      <name val="Times New Roman"/>
      <family val="1"/>
    </font>
    <font>
      <sz val="12"/>
      <name val="Times New Roman"/>
      <family val="1"/>
    </font>
    <font>
      <b/>
      <sz val="12"/>
      <color theme="1"/>
      <name val="Times New Roman"/>
      <family val="1"/>
    </font>
    <font>
      <sz val="12"/>
      <color theme="1"/>
      <name val="Times New Roman"/>
      <family val="1"/>
    </font>
    <font>
      <sz val="12"/>
      <name val=".VnArial"/>
      <family val="2"/>
    </font>
    <font>
      <sz val="10"/>
      <name val="Arial"/>
      <family val="2"/>
    </font>
    <font>
      <i/>
      <sz val="12"/>
      <name val="Times New Roman"/>
      <family val="1"/>
    </font>
    <font>
      <sz val="11"/>
      <name val="Times New Roman"/>
      <family val="1"/>
    </font>
    <font>
      <sz val="11"/>
      <color theme="1"/>
      <name val="Times New Roman"/>
      <family val="2"/>
      <charset val="163"/>
    </font>
    <font>
      <sz val="14"/>
      <color theme="1"/>
      <name val="Times New Roman"/>
      <family val="1"/>
    </font>
    <font>
      <b/>
      <sz val="14"/>
      <color theme="1"/>
      <name val="Times New Roman"/>
      <family val="1"/>
    </font>
    <font>
      <b/>
      <sz val="14"/>
      <name val="Times New Roman"/>
      <family val="1"/>
    </font>
    <font>
      <b/>
      <sz val="11"/>
      <color indexed="81"/>
      <name val="Segoe UI"/>
      <family val="2"/>
    </font>
    <font>
      <sz val="9"/>
      <color indexed="81"/>
      <name val="Segoe UI"/>
      <family val="2"/>
    </font>
    <font>
      <b/>
      <sz val="12"/>
      <color indexed="81"/>
      <name val="Segoe UI"/>
      <family val="2"/>
    </font>
    <font>
      <sz val="9"/>
      <color indexed="81"/>
      <name val="Tahoma"/>
      <family val="2"/>
    </font>
    <font>
      <b/>
      <sz val="9"/>
      <color indexed="81"/>
      <name val="Tahoma"/>
      <family val="2"/>
    </font>
    <font>
      <b/>
      <i/>
      <sz val="12"/>
      <name val="Times New Roman"/>
      <family val="1"/>
    </font>
    <font>
      <b/>
      <sz val="11"/>
      <name val="Times New Roman"/>
      <family val="1"/>
    </font>
    <font>
      <b/>
      <u/>
      <sz val="10"/>
      <name val="Times New Roman"/>
      <family val="1"/>
    </font>
    <font>
      <u/>
      <sz val="12"/>
      <color theme="1"/>
      <name val="Times New Roman"/>
      <family val="1"/>
    </font>
    <font>
      <b/>
      <i/>
      <sz val="12"/>
      <color theme="1"/>
      <name val="Times New Roman"/>
      <family val="1"/>
    </font>
    <font>
      <sz val="11"/>
      <color indexed="81"/>
      <name val="Tahoma"/>
      <family val="2"/>
    </font>
    <font>
      <b/>
      <sz val="11"/>
      <color indexed="81"/>
      <name val="Tahoma"/>
      <family val="2"/>
    </font>
    <font>
      <sz val="11"/>
      <color theme="1"/>
      <name val="Times New Roman"/>
      <family val="1"/>
    </font>
    <font>
      <i/>
      <sz val="11"/>
      <color theme="1"/>
      <name val="Times New Roman"/>
      <family val="1"/>
    </font>
    <font>
      <i/>
      <sz val="13"/>
      <color theme="1"/>
      <name val="Times New Roman"/>
      <family val="1"/>
    </font>
    <font>
      <i/>
      <sz val="12"/>
      <color theme="1"/>
      <name val="Times New Roman"/>
      <family val="1"/>
    </font>
    <font>
      <b/>
      <sz val="10"/>
      <name val="Times New Roman"/>
      <family val="1"/>
    </font>
    <font>
      <i/>
      <sz val="14"/>
      <name val="Times New Roman"/>
      <family val="1"/>
    </font>
    <font>
      <i/>
      <sz val="14"/>
      <color theme="1"/>
      <name val="Times New Roman"/>
      <family val="1"/>
    </font>
    <font>
      <sz val="12"/>
      <color rgb="FF0070C0"/>
      <name val="Times New Roman"/>
      <family val="2"/>
      <charset val="163"/>
    </font>
    <font>
      <b/>
      <sz val="12"/>
      <color rgb="FF0070C0"/>
      <name val="Times New Roman"/>
      <family val="1"/>
    </font>
    <font>
      <b/>
      <sz val="11"/>
      <color rgb="FF0070C0"/>
      <name val="Times New Roman"/>
      <family val="1"/>
    </font>
    <font>
      <sz val="12"/>
      <color rgb="FF0070C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3">
    <xf numFmtId="0" fontId="0" fillId="0" borderId="0"/>
    <xf numFmtId="164" fontId="1" fillId="0" borderId="0" applyFont="0" applyFill="0" applyBorder="0" applyAlignment="0" applyProtection="0"/>
    <xf numFmtId="0" fontId="2" fillId="0" borderId="0"/>
    <xf numFmtId="0" fontId="7" fillId="0" borderId="0"/>
    <xf numFmtId="0" fontId="8" fillId="0" borderId="0"/>
    <xf numFmtId="0" fontId="8" fillId="0" borderId="0"/>
    <xf numFmtId="0" fontId="2" fillId="0" borderId="0"/>
    <xf numFmtId="0" fontId="8" fillId="0" borderId="0"/>
    <xf numFmtId="43" fontId="8" fillId="0" borderId="0" applyFont="0" applyFill="0" applyBorder="0" applyAlignment="0" applyProtection="0"/>
    <xf numFmtId="0" fontId="11" fillId="0" borderId="0"/>
    <xf numFmtId="0" fontId="1" fillId="0" borderId="0"/>
    <xf numFmtId="0" fontId="8" fillId="0" borderId="0"/>
    <xf numFmtId="164" fontId="1" fillId="0" borderId="0" applyFont="0" applyFill="0" applyBorder="0" applyAlignment="0" applyProtection="0"/>
  </cellStyleXfs>
  <cellXfs count="459">
    <xf numFmtId="0" fontId="0" fillId="0" borderId="0" xfId="0"/>
    <xf numFmtId="0" fontId="4" fillId="0" borderId="0" xfId="2" applyFont="1" applyAlignment="1">
      <alignment vertical="center"/>
    </xf>
    <xf numFmtId="0" fontId="5" fillId="0" borderId="1" xfId="0" applyFont="1" applyBorder="1" applyAlignment="1">
      <alignment horizontal="center"/>
    </xf>
    <xf numFmtId="0" fontId="5" fillId="0" borderId="1" xfId="0" applyFont="1" applyBorder="1"/>
    <xf numFmtId="0" fontId="6" fillId="0" borderId="1" xfId="0" applyFont="1" applyBorder="1"/>
    <xf numFmtId="0" fontId="4" fillId="0" borderId="1" xfId="3" applyFont="1" applyBorder="1" applyAlignment="1">
      <alignment horizontal="center" vertical="center"/>
    </xf>
    <xf numFmtId="0" fontId="4" fillId="0" borderId="1" xfId="4" applyFont="1" applyBorder="1" applyAlignment="1">
      <alignment vertical="center" wrapText="1"/>
    </xf>
    <xf numFmtId="0" fontId="4" fillId="0" borderId="1" xfId="4" applyFont="1" applyBorder="1" applyAlignment="1">
      <alignment horizontal="center" vertical="center" wrapText="1"/>
    </xf>
    <xf numFmtId="4" fontId="4" fillId="0" borderId="1" xfId="4" applyNumberFormat="1" applyFont="1" applyBorder="1" applyAlignment="1">
      <alignment horizontal="right" vertical="center" wrapText="1"/>
    </xf>
    <xf numFmtId="4" fontId="4" fillId="0" borderId="1" xfId="4" applyNumberFormat="1" applyFont="1" applyBorder="1" applyAlignment="1">
      <alignment horizontal="center" vertical="center" wrapText="1"/>
    </xf>
    <xf numFmtId="0" fontId="4" fillId="0" borderId="1" xfId="3" applyFont="1" applyBorder="1" applyAlignment="1">
      <alignment vertical="center"/>
    </xf>
    <xf numFmtId="0" fontId="4" fillId="0" borderId="1" xfId="5" applyFont="1" applyBorder="1" applyAlignment="1">
      <alignment horizontal="center" vertical="center" wrapText="1"/>
    </xf>
    <xf numFmtId="0" fontId="9" fillId="0" borderId="1" xfId="0" applyFont="1" applyBorder="1"/>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164" fontId="3" fillId="0" borderId="1" xfId="1" applyFont="1" applyBorder="1" applyAlignment="1">
      <alignment vertical="center"/>
    </xf>
    <xf numFmtId="0" fontId="9" fillId="0" borderId="0" xfId="0" applyFont="1"/>
    <xf numFmtId="3" fontId="4" fillId="0" borderId="1" xfId="3" applyNumberFormat="1" applyFont="1" applyBorder="1" applyAlignment="1">
      <alignment vertical="center" wrapText="1"/>
    </xf>
    <xf numFmtId="3" fontId="4" fillId="0" borderId="1" xfId="3" applyNumberFormat="1" applyFont="1" applyBorder="1" applyAlignment="1">
      <alignment horizontal="center" vertical="center" wrapText="1"/>
    </xf>
    <xf numFmtId="4" fontId="4" fillId="0" borderId="1" xfId="3" applyNumberFormat="1" applyFont="1" applyBorder="1" applyAlignment="1">
      <alignment horizontal="right" vertical="center"/>
    </xf>
    <xf numFmtId="4" fontId="4" fillId="0" borderId="1" xfId="3" applyNumberFormat="1" applyFont="1" applyBorder="1" applyAlignment="1">
      <alignment horizontal="center" vertical="center"/>
    </xf>
    <xf numFmtId="0" fontId="4" fillId="0" borderId="1" xfId="3" applyFont="1" applyBorder="1" applyAlignment="1">
      <alignment vertical="center" wrapText="1"/>
    </xf>
    <xf numFmtId="4" fontId="4" fillId="0" borderId="1" xfId="3" applyNumberFormat="1" applyFont="1" applyBorder="1" applyAlignment="1">
      <alignment horizontal="center" vertical="center" wrapText="1"/>
    </xf>
    <xf numFmtId="2" fontId="4" fillId="0" borderId="1" xfId="3" applyNumberFormat="1" applyFont="1" applyBorder="1" applyAlignment="1">
      <alignment vertical="center"/>
    </xf>
    <xf numFmtId="0" fontId="4" fillId="0" borderId="1" xfId="6" applyFont="1" applyBorder="1" applyAlignment="1">
      <alignment vertical="center" wrapText="1"/>
    </xf>
    <xf numFmtId="0" fontId="4" fillId="0" borderId="1" xfId="3" applyFont="1" applyBorder="1" applyAlignment="1">
      <alignment horizontal="center" vertical="center" wrapText="1"/>
    </xf>
    <xf numFmtId="4" fontId="4" fillId="0" borderId="1" xfId="3" applyNumberFormat="1" applyFont="1" applyBorder="1" applyAlignment="1">
      <alignment horizontal="right" vertical="center" wrapText="1"/>
    </xf>
    <xf numFmtId="0" fontId="4" fillId="0" borderId="0" xfId="2" applyFont="1" applyAlignment="1">
      <alignment vertical="center" wrapText="1"/>
    </xf>
    <xf numFmtId="0" fontId="3" fillId="0" borderId="1" xfId="2" applyFont="1" applyBorder="1" applyAlignment="1">
      <alignment horizontal="center" vertical="center"/>
    </xf>
    <xf numFmtId="0" fontId="3" fillId="0" borderId="1" xfId="2" applyFont="1" applyBorder="1" applyAlignment="1">
      <alignment vertical="center" wrapText="1"/>
    </xf>
    <xf numFmtId="0" fontId="3" fillId="0" borderId="1" xfId="4" applyFont="1" applyBorder="1" applyAlignment="1">
      <alignment horizontal="center" vertical="center" wrapText="1"/>
    </xf>
    <xf numFmtId="4" fontId="3" fillId="0" borderId="1" xfId="2" applyNumberFormat="1" applyFont="1" applyBorder="1" applyAlignment="1">
      <alignment vertical="center"/>
    </xf>
    <xf numFmtId="4" fontId="3" fillId="0" borderId="1" xfId="2" applyNumberFormat="1" applyFont="1" applyBorder="1" applyAlignment="1">
      <alignment horizontal="center" vertical="center"/>
    </xf>
    <xf numFmtId="0" fontId="5" fillId="0" borderId="0" xfId="0" applyFont="1"/>
    <xf numFmtId="0" fontId="6" fillId="0" borderId="1" xfId="0" applyFont="1" applyBorder="1" applyAlignment="1">
      <alignment horizontal="center"/>
    </xf>
    <xf numFmtId="49" fontId="4" fillId="2" borderId="1" xfId="7" applyNumberFormat="1" applyFont="1" applyFill="1" applyBorder="1" applyAlignment="1">
      <alignment horizontal="center" vertical="center" wrapText="1"/>
    </xf>
    <xf numFmtId="0" fontId="4" fillId="2" borderId="1" xfId="7" applyFont="1" applyFill="1" applyBorder="1" applyAlignment="1">
      <alignment horizontal="left" vertical="center" wrapText="1"/>
    </xf>
    <xf numFmtId="0" fontId="4" fillId="2" borderId="1" xfId="7" applyFont="1" applyFill="1" applyBorder="1" applyAlignment="1">
      <alignment horizontal="center" vertical="center" wrapText="1"/>
    </xf>
    <xf numFmtId="0" fontId="4" fillId="2" borderId="1" xfId="7" applyFont="1" applyFill="1" applyBorder="1"/>
    <xf numFmtId="4" fontId="4" fillId="2" borderId="1" xfId="7" applyNumberFormat="1" applyFont="1" applyFill="1" applyBorder="1" applyAlignment="1">
      <alignment horizontal="center" vertical="center" wrapText="1"/>
    </xf>
    <xf numFmtId="4" fontId="4" fillId="2" borderId="1" xfId="7" applyNumberFormat="1" applyFont="1" applyFill="1" applyBorder="1" applyAlignment="1">
      <alignment horizontal="right" vertical="center" wrapText="1"/>
    </xf>
    <xf numFmtId="0" fontId="4" fillId="2" borderId="0" xfId="7" applyFont="1" applyFill="1"/>
    <xf numFmtId="165" fontId="4" fillId="2" borderId="1" xfId="7" applyNumberFormat="1"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3" fillId="0" borderId="1" xfId="3" applyFont="1" applyBorder="1" applyAlignment="1">
      <alignment vertical="center"/>
    </xf>
    <xf numFmtId="49" fontId="4" fillId="0" borderId="1" xfId="7" applyNumberFormat="1" applyFont="1" applyBorder="1" applyAlignment="1">
      <alignment horizontal="center" vertical="center" wrapText="1"/>
    </xf>
    <xf numFmtId="166" fontId="4" fillId="0" borderId="1" xfId="7" applyNumberFormat="1" applyFont="1" applyBorder="1" applyAlignment="1">
      <alignment horizontal="left" vertical="center" wrapText="1"/>
    </xf>
    <xf numFmtId="0" fontId="4" fillId="0" borderId="1" xfId="7" applyFont="1" applyBorder="1" applyAlignment="1">
      <alignment horizontal="center" vertical="center" wrapText="1"/>
    </xf>
    <xf numFmtId="4" fontId="4" fillId="0" borderId="1" xfId="8" applyNumberFormat="1" applyFont="1" applyFill="1" applyBorder="1" applyAlignment="1">
      <alignment horizontal="center" vertical="center" wrapText="1"/>
    </xf>
    <xf numFmtId="4" fontId="4" fillId="0" borderId="1" xfId="7" applyNumberFormat="1" applyFont="1" applyBorder="1" applyAlignment="1">
      <alignment horizontal="right" vertical="center" wrapText="1"/>
    </xf>
    <xf numFmtId="4" fontId="4" fillId="0" borderId="1" xfId="7" applyNumberFormat="1" applyFont="1" applyBorder="1" applyAlignment="1">
      <alignment horizontal="center" vertical="center" wrapText="1"/>
    </xf>
    <xf numFmtId="0" fontId="4" fillId="0" borderId="0" xfId="7" applyFont="1"/>
    <xf numFmtId="165" fontId="4" fillId="0" borderId="1" xfId="7" applyNumberFormat="1" applyFont="1" applyBorder="1" applyAlignment="1">
      <alignment horizontal="left" vertical="center" wrapText="1"/>
    </xf>
    <xf numFmtId="0" fontId="4" fillId="0" borderId="1" xfId="7" applyFont="1" applyBorder="1" applyAlignment="1">
      <alignment horizontal="center" vertical="center"/>
    </xf>
    <xf numFmtId="166" fontId="4" fillId="2" borderId="1" xfId="7" applyNumberFormat="1" applyFont="1" applyFill="1" applyBorder="1" applyAlignment="1">
      <alignment horizontal="left" vertical="center" wrapText="1"/>
    </xf>
    <xf numFmtId="0" fontId="4" fillId="2" borderId="1" xfId="7" applyFont="1" applyFill="1" applyBorder="1" applyAlignment="1">
      <alignment horizontal="center" vertical="center"/>
    </xf>
    <xf numFmtId="0" fontId="5" fillId="0" borderId="1" xfId="0" applyFont="1" applyBorder="1" applyAlignment="1">
      <alignment horizontal="right"/>
    </xf>
    <xf numFmtId="0" fontId="6" fillId="0" borderId="1" xfId="0" applyFont="1" applyBorder="1" applyAlignment="1">
      <alignment horizontal="right"/>
    </xf>
    <xf numFmtId="0" fontId="4" fillId="0" borderId="1" xfId="0" applyFont="1" applyBorder="1" applyAlignment="1">
      <alignment vertical="center" wrapText="1"/>
    </xf>
    <xf numFmtId="43" fontId="4" fillId="0" borderId="1" xfId="0" applyNumberFormat="1" applyFont="1" applyBorder="1" applyAlignment="1">
      <alignment vertical="center" wrapText="1"/>
    </xf>
    <xf numFmtId="0" fontId="4" fillId="0" borderId="0" xfId="0" applyFont="1"/>
    <xf numFmtId="0" fontId="10" fillId="0" borderId="1" xfId="4" applyFont="1" applyBorder="1" applyAlignment="1">
      <alignment horizontal="center" vertical="center" wrapText="1"/>
    </xf>
    <xf numFmtId="166" fontId="4" fillId="0" borderId="1" xfId="0" applyNumberFormat="1" applyFont="1" applyBorder="1" applyAlignment="1">
      <alignment horizontal="center" vertical="center" wrapText="1"/>
    </xf>
    <xf numFmtId="9" fontId="6" fillId="0" borderId="1" xfId="0" applyNumberFormat="1" applyFont="1" applyBorder="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164" fontId="4" fillId="2" borderId="1" xfId="1" applyFont="1" applyFill="1" applyBorder="1" applyAlignment="1">
      <alignment vertical="center" wrapText="1"/>
    </xf>
    <xf numFmtId="164" fontId="4" fillId="2" borderId="1" xfId="1" applyFont="1" applyFill="1" applyBorder="1" applyAlignment="1">
      <alignment horizontal="right" vertical="center" wrapText="1"/>
    </xf>
    <xf numFmtId="164" fontId="4" fillId="2" borderId="4" xfId="1" applyFont="1" applyFill="1" applyBorder="1" applyAlignment="1">
      <alignment horizontal="center" vertical="center" wrapText="1"/>
    </xf>
    <xf numFmtId="164" fontId="4" fillId="2" borderId="5" xfId="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10" fillId="2" borderId="0" xfId="0" applyFont="1" applyFill="1" applyAlignment="1">
      <alignment vertical="center"/>
    </xf>
    <xf numFmtId="3"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9" applyFont="1" applyFill="1" applyBorder="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4" fillId="2" borderId="1" xfId="10" applyFont="1" applyFill="1" applyBorder="1" applyAlignment="1">
      <alignment horizontal="left" vertical="center" wrapText="1"/>
    </xf>
    <xf numFmtId="0" fontId="4" fillId="2" borderId="1" xfId="0" applyFont="1" applyFill="1" applyBorder="1" applyAlignment="1">
      <alignment horizontal="left" vertical="center" wrapText="1"/>
    </xf>
    <xf numFmtId="164" fontId="4" fillId="2" borderId="6" xfId="1" applyFont="1" applyFill="1" applyBorder="1" applyAlignment="1">
      <alignment horizontal="center" vertical="center" wrapText="1"/>
    </xf>
    <xf numFmtId="164" fontId="4" fillId="2" borderId="7" xfId="1"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12" fillId="0" borderId="0" xfId="0" applyFont="1"/>
    <xf numFmtId="3" fontId="21" fillId="0" borderId="3" xfId="11" applyNumberFormat="1" applyFont="1" applyBorder="1" applyAlignment="1">
      <alignment horizontal="center" vertical="center" wrapText="1"/>
    </xf>
    <xf numFmtId="3" fontId="21" fillId="0" borderId="1" xfId="11" applyNumberFormat="1" applyFont="1" applyBorder="1" applyAlignment="1">
      <alignment horizontal="center" vertical="center" wrapText="1"/>
    </xf>
    <xf numFmtId="3" fontId="10" fillId="0" borderId="1" xfId="11" applyNumberFormat="1" applyFont="1" applyBorder="1" applyAlignment="1">
      <alignment horizontal="center" vertical="center" wrapText="1"/>
    </xf>
    <xf numFmtId="0" fontId="10" fillId="0" borderId="1" xfId="0" applyFont="1" applyBorder="1" applyAlignment="1">
      <alignment vertical="center" wrapText="1"/>
    </xf>
    <xf numFmtId="167" fontId="10" fillId="0" borderId="1" xfId="0" applyNumberFormat="1" applyFont="1" applyBorder="1" applyAlignment="1">
      <alignment vertical="center" wrapText="1"/>
    </xf>
    <xf numFmtId="3" fontId="10" fillId="0" borderId="1" xfId="0" applyNumberFormat="1" applyFont="1" applyBorder="1" applyAlignment="1">
      <alignment vertical="center" wrapText="1"/>
    </xf>
    <xf numFmtId="3" fontId="10" fillId="0" borderId="1" xfId="11" applyNumberFormat="1" applyFont="1" applyBorder="1" applyAlignment="1">
      <alignment horizontal="right" vertical="center" wrapText="1"/>
    </xf>
    <xf numFmtId="167" fontId="10" fillId="0" borderId="1" xfId="1" applyNumberFormat="1" applyFont="1" applyFill="1" applyBorder="1" applyAlignment="1">
      <alignment horizontal="center" vertical="center" wrapText="1"/>
    </xf>
    <xf numFmtId="3" fontId="21" fillId="0" borderId="2" xfId="11" applyNumberFormat="1" applyFont="1" applyBorder="1" applyAlignment="1">
      <alignment horizontal="center" vertical="center" wrapText="1"/>
    </xf>
    <xf numFmtId="3" fontId="22" fillId="0" borderId="1" xfId="11" quotePrefix="1" applyNumberFormat="1" applyFont="1" applyBorder="1" applyAlignment="1">
      <alignment horizontal="center" vertical="center" wrapText="1"/>
    </xf>
    <xf numFmtId="3" fontId="22" fillId="0" borderId="1" xfId="11" applyNumberFormat="1" applyFont="1" applyBorder="1" applyAlignment="1">
      <alignment horizontal="center" vertical="center" wrapText="1"/>
    </xf>
    <xf numFmtId="3" fontId="22" fillId="0" borderId="1" xfId="11" quotePrefix="1" applyNumberFormat="1" applyFont="1" applyBorder="1" applyAlignment="1">
      <alignment horizontal="right" vertical="center" wrapText="1"/>
    </xf>
    <xf numFmtId="0" fontId="23" fillId="0" borderId="0" xfId="0" applyFont="1"/>
    <xf numFmtId="3" fontId="23" fillId="0" borderId="0" xfId="0" applyNumberFormat="1" applyFont="1"/>
    <xf numFmtId="3" fontId="0" fillId="0" borderId="0" xfId="0" applyNumberFormat="1"/>
    <xf numFmtId="0" fontId="5" fillId="0" borderId="0" xfId="0" applyFont="1" applyAlignment="1">
      <alignment vertical="center"/>
    </xf>
    <xf numFmtId="0" fontId="5" fillId="2" borderId="0" xfId="9" applyFont="1" applyFill="1"/>
    <xf numFmtId="0" fontId="6" fillId="2" borderId="0" xfId="9" applyFont="1" applyFill="1"/>
    <xf numFmtId="0" fontId="24" fillId="2" borderId="0" xfId="9" applyFont="1" applyFill="1"/>
    <xf numFmtId="0" fontId="5" fillId="2" borderId="0" xfId="0" applyFont="1" applyFill="1"/>
    <xf numFmtId="3" fontId="10" fillId="0" borderId="5" xfId="11" applyNumberFormat="1" applyFont="1" applyBorder="1" applyAlignment="1">
      <alignment horizontal="center" vertical="center" wrapText="1"/>
    </xf>
    <xf numFmtId="0" fontId="10" fillId="0" borderId="5" xfId="0" applyFont="1" applyBorder="1" applyAlignment="1">
      <alignment vertical="center" wrapText="1"/>
    </xf>
    <xf numFmtId="3" fontId="10" fillId="0" borderId="5" xfId="0" applyNumberFormat="1" applyFont="1" applyBorder="1" applyAlignment="1">
      <alignment vertical="center" wrapText="1"/>
    </xf>
    <xf numFmtId="3" fontId="10" fillId="0" borderId="5" xfId="11" applyNumberFormat="1" applyFont="1" applyBorder="1" applyAlignment="1">
      <alignment horizontal="right" vertical="center" wrapText="1"/>
    </xf>
    <xf numFmtId="167" fontId="10" fillId="0" borderId="5" xfId="1" applyNumberFormat="1" applyFont="1" applyFill="1" applyBorder="1" applyAlignment="1">
      <alignment horizontal="center" vertical="center" wrapText="1"/>
    </xf>
    <xf numFmtId="3" fontId="10" fillId="0" borderId="13" xfId="11" applyNumberFormat="1" applyFont="1" applyBorder="1" applyAlignment="1">
      <alignment horizontal="center" vertical="center" wrapText="1"/>
    </xf>
    <xf numFmtId="0" fontId="10" fillId="0" borderId="13" xfId="0" applyFont="1" applyBorder="1" applyAlignment="1">
      <alignment vertical="center" wrapText="1"/>
    </xf>
    <xf numFmtId="3" fontId="10" fillId="0" borderId="13" xfId="0" applyNumberFormat="1" applyFont="1" applyBorder="1" applyAlignment="1">
      <alignment vertical="center" wrapText="1"/>
    </xf>
    <xf numFmtId="3" fontId="10" fillId="0" borderId="13" xfId="11" applyNumberFormat="1" applyFont="1" applyBorder="1" applyAlignment="1">
      <alignment horizontal="right" vertical="center" wrapText="1"/>
    </xf>
    <xf numFmtId="167" fontId="10" fillId="0" borderId="13" xfId="1" applyNumberFormat="1" applyFont="1" applyFill="1" applyBorder="1" applyAlignment="1">
      <alignment horizontal="center" vertical="center" wrapText="1"/>
    </xf>
    <xf numFmtId="0" fontId="27" fillId="2" borderId="0" xfId="9" applyFont="1" applyFill="1"/>
    <xf numFmtId="3" fontId="10" fillId="0" borderId="12" xfId="11" applyNumberFormat="1" applyFont="1" applyBorder="1" applyAlignment="1">
      <alignment horizontal="center" vertical="center" wrapText="1"/>
    </xf>
    <xf numFmtId="0" fontId="10" fillId="0" borderId="12" xfId="0" applyFont="1" applyBorder="1" applyAlignment="1">
      <alignment vertical="center" wrapText="1"/>
    </xf>
    <xf numFmtId="3" fontId="10" fillId="0" borderId="12" xfId="0" applyNumberFormat="1" applyFont="1" applyBorder="1" applyAlignment="1">
      <alignment vertical="center" wrapText="1"/>
    </xf>
    <xf numFmtId="3" fontId="10" fillId="0" borderId="12" xfId="11" applyNumberFormat="1" applyFont="1" applyBorder="1" applyAlignment="1">
      <alignment horizontal="right" vertical="center" wrapText="1"/>
    </xf>
    <xf numFmtId="167" fontId="10" fillId="0" borderId="12" xfId="1" applyNumberFormat="1" applyFont="1" applyFill="1" applyBorder="1" applyAlignment="1">
      <alignment horizontal="center" vertical="center" wrapText="1"/>
    </xf>
    <xf numFmtId="0" fontId="5" fillId="0" borderId="1" xfId="0" applyFont="1" applyBorder="1" applyAlignment="1">
      <alignment horizontal="center" vertical="center"/>
    </xf>
    <xf numFmtId="0" fontId="28" fillId="2" borderId="0" xfId="9" applyFont="1" applyFill="1"/>
    <xf numFmtId="3" fontId="6" fillId="2" borderId="0" xfId="9" applyNumberFormat="1" applyFont="1" applyFill="1"/>
    <xf numFmtId="170" fontId="5" fillId="2" borderId="3" xfId="1" applyNumberFormat="1" applyFont="1" applyFill="1" applyBorder="1" applyAlignment="1">
      <alignment horizontal="center" vertical="center" wrapText="1"/>
    </xf>
    <xf numFmtId="3" fontId="5" fillId="2" borderId="1" xfId="11" applyNumberFormat="1" applyFont="1" applyFill="1" applyBorder="1" applyAlignment="1">
      <alignment horizontal="center" vertical="center" wrapText="1"/>
    </xf>
    <xf numFmtId="170" fontId="5" fillId="2" borderId="1" xfId="1" applyNumberFormat="1" applyFont="1" applyFill="1" applyBorder="1" applyAlignment="1">
      <alignment horizontal="center" vertical="center" wrapText="1"/>
    </xf>
    <xf numFmtId="3" fontId="24" fillId="2" borderId="12" xfId="11" applyNumberFormat="1" applyFont="1" applyFill="1" applyBorder="1" applyAlignment="1">
      <alignment horizontal="center" vertical="center" wrapText="1"/>
    </xf>
    <xf numFmtId="3" fontId="24" fillId="2" borderId="12" xfId="11" applyNumberFormat="1" applyFont="1" applyFill="1" applyBorder="1" applyAlignment="1">
      <alignment horizontal="left" vertical="center" wrapText="1"/>
    </xf>
    <xf numFmtId="170" fontId="5" fillId="2" borderId="12" xfId="1" applyNumberFormat="1" applyFont="1" applyFill="1" applyBorder="1" applyAlignment="1">
      <alignment horizontal="center" vertical="center" wrapText="1"/>
    </xf>
    <xf numFmtId="3" fontId="5" fillId="2" borderId="12" xfId="11" applyNumberFormat="1" applyFont="1" applyFill="1" applyBorder="1" applyAlignment="1">
      <alignment horizontal="center" vertical="center" wrapText="1"/>
    </xf>
    <xf numFmtId="3" fontId="24" fillId="2" borderId="5" xfId="11" applyNumberFormat="1" applyFont="1" applyFill="1" applyBorder="1" applyAlignment="1">
      <alignment horizontal="center" vertical="center" wrapText="1"/>
    </xf>
    <xf numFmtId="3" fontId="6" fillId="2" borderId="5" xfId="11" applyNumberFormat="1" applyFont="1" applyFill="1" applyBorder="1" applyAlignment="1">
      <alignment horizontal="left" vertical="center" wrapText="1"/>
    </xf>
    <xf numFmtId="170" fontId="6" fillId="2" borderId="5" xfId="1" applyNumberFormat="1" applyFont="1" applyFill="1" applyBorder="1" applyAlignment="1">
      <alignment horizontal="center" vertical="center" wrapText="1"/>
    </xf>
    <xf numFmtId="167" fontId="6" fillId="2" borderId="5" xfId="1" applyNumberFormat="1" applyFont="1" applyFill="1" applyBorder="1" applyAlignment="1">
      <alignment horizontal="center" vertical="center" wrapText="1"/>
    </xf>
    <xf numFmtId="3" fontId="5" fillId="2" borderId="5" xfId="11" applyNumberFormat="1" applyFont="1" applyFill="1" applyBorder="1" applyAlignment="1">
      <alignment horizontal="center" vertical="center" wrapText="1"/>
    </xf>
    <xf numFmtId="3" fontId="24" fillId="2" borderId="13" xfId="11" applyNumberFormat="1" applyFont="1" applyFill="1" applyBorder="1" applyAlignment="1">
      <alignment horizontal="center" vertical="center" wrapText="1"/>
    </xf>
    <xf numFmtId="3" fontId="24" fillId="2" borderId="13" xfId="11" applyNumberFormat="1" applyFont="1" applyFill="1" applyBorder="1" applyAlignment="1">
      <alignment horizontal="left" vertical="center" wrapText="1"/>
    </xf>
    <xf numFmtId="170" fontId="5" fillId="2" borderId="13" xfId="1" applyNumberFormat="1" applyFont="1" applyFill="1" applyBorder="1" applyAlignment="1">
      <alignment horizontal="center" vertical="center" wrapText="1"/>
    </xf>
    <xf numFmtId="3" fontId="24" fillId="2" borderId="3" xfId="11" applyNumberFormat="1" applyFont="1" applyFill="1" applyBorder="1" applyAlignment="1">
      <alignment horizontal="center" vertical="center" wrapText="1"/>
    </xf>
    <xf numFmtId="3" fontId="24" fillId="2" borderId="3" xfId="11" applyNumberFormat="1" applyFont="1" applyFill="1" applyBorder="1" applyAlignment="1">
      <alignment horizontal="left" vertical="center" wrapText="1"/>
    </xf>
    <xf numFmtId="3" fontId="5" fillId="2" borderId="3" xfId="11" applyNumberFormat="1" applyFont="1" applyFill="1" applyBorder="1" applyAlignment="1">
      <alignment horizontal="center" vertical="center" wrapText="1"/>
    </xf>
    <xf numFmtId="0" fontId="5" fillId="2" borderId="1" xfId="9" applyFont="1" applyFill="1" applyBorder="1" applyAlignment="1">
      <alignment vertical="center" wrapText="1"/>
    </xf>
    <xf numFmtId="3" fontId="5" fillId="2" borderId="1" xfId="11" quotePrefix="1" applyNumberFormat="1" applyFont="1" applyFill="1" applyBorder="1" applyAlignment="1">
      <alignment horizontal="center" vertical="center" wrapText="1"/>
    </xf>
    <xf numFmtId="3" fontId="24" fillId="2" borderId="1" xfId="11" applyNumberFormat="1" applyFont="1" applyFill="1" applyBorder="1" applyAlignment="1">
      <alignment horizontal="center" vertical="center" wrapText="1"/>
    </xf>
    <xf numFmtId="0" fontId="24" fillId="2" borderId="1" xfId="9" applyFont="1" applyFill="1" applyBorder="1" applyAlignment="1">
      <alignment vertical="center" wrapText="1"/>
    </xf>
    <xf numFmtId="170" fontId="24" fillId="2" borderId="1" xfId="1" applyNumberFormat="1" applyFont="1" applyFill="1" applyBorder="1" applyAlignment="1">
      <alignment horizontal="center" vertical="center" wrapText="1"/>
    </xf>
    <xf numFmtId="3" fontId="24" fillId="2" borderId="1" xfId="11" quotePrefix="1" applyNumberFormat="1" applyFont="1" applyFill="1" applyBorder="1" applyAlignment="1">
      <alignment horizontal="center" vertical="center" wrapText="1"/>
    </xf>
    <xf numFmtId="3" fontId="6" fillId="2" borderId="12" xfId="11" applyNumberFormat="1" applyFont="1" applyFill="1" applyBorder="1" applyAlignment="1">
      <alignment horizontal="center" vertical="center" wrapText="1"/>
    </xf>
    <xf numFmtId="0" fontId="6" fillId="2" borderId="12" xfId="9" applyFont="1" applyFill="1" applyBorder="1" applyAlignment="1">
      <alignment vertical="center" wrapText="1"/>
    </xf>
    <xf numFmtId="170" fontId="6" fillId="2" borderId="12" xfId="1" applyNumberFormat="1" applyFont="1" applyFill="1" applyBorder="1" applyAlignment="1">
      <alignment horizontal="center" vertical="center" wrapText="1"/>
    </xf>
    <xf numFmtId="170" fontId="6" fillId="2" borderId="12" xfId="1" quotePrefix="1" applyNumberFormat="1" applyFont="1" applyFill="1" applyBorder="1" applyAlignment="1">
      <alignment horizontal="center" vertical="center" wrapText="1"/>
    </xf>
    <xf numFmtId="3" fontId="6" fillId="2" borderId="12" xfId="11" quotePrefix="1" applyNumberFormat="1" applyFont="1" applyFill="1" applyBorder="1" applyAlignment="1">
      <alignment horizontal="center" vertical="center" wrapText="1"/>
    </xf>
    <xf numFmtId="3" fontId="6" fillId="2" borderId="5" xfId="11" applyNumberFormat="1" applyFont="1" applyFill="1" applyBorder="1" applyAlignment="1">
      <alignment horizontal="center" vertical="center" wrapText="1"/>
    </xf>
    <xf numFmtId="0" fontId="6" fillId="2" borderId="5" xfId="9" applyFont="1" applyFill="1" applyBorder="1" applyAlignment="1">
      <alignment vertical="center" wrapText="1"/>
    </xf>
    <xf numFmtId="170" fontId="6" fillId="2" borderId="5" xfId="1" quotePrefix="1" applyNumberFormat="1" applyFont="1" applyFill="1" applyBorder="1" applyAlignment="1">
      <alignment horizontal="center" vertical="center" wrapText="1"/>
    </xf>
    <xf numFmtId="3" fontId="6" fillId="2" borderId="5" xfId="11" quotePrefix="1" applyNumberFormat="1" applyFont="1" applyFill="1" applyBorder="1" applyAlignment="1">
      <alignment horizontal="center" vertical="center" wrapText="1"/>
    </xf>
    <xf numFmtId="3" fontId="6" fillId="2" borderId="13" xfId="11" applyNumberFormat="1" applyFont="1" applyFill="1" applyBorder="1" applyAlignment="1">
      <alignment horizontal="center" vertical="center" wrapText="1"/>
    </xf>
    <xf numFmtId="0" fontId="6" fillId="2" borderId="13" xfId="9" applyFont="1" applyFill="1" applyBorder="1" applyAlignment="1">
      <alignment vertical="center" wrapText="1"/>
    </xf>
    <xf numFmtId="170" fontId="6" fillId="2" borderId="13" xfId="1" applyNumberFormat="1" applyFont="1" applyFill="1" applyBorder="1" applyAlignment="1">
      <alignment horizontal="center" vertical="center" wrapText="1"/>
    </xf>
    <xf numFmtId="170" fontId="6" fillId="2" borderId="13" xfId="1" quotePrefix="1" applyNumberFormat="1" applyFont="1" applyFill="1" applyBorder="1" applyAlignment="1">
      <alignment horizontal="center" vertical="center" wrapText="1"/>
    </xf>
    <xf numFmtId="3" fontId="6" fillId="2" borderId="13" xfId="11" quotePrefix="1" applyNumberFormat="1" applyFont="1" applyFill="1" applyBorder="1" applyAlignment="1">
      <alignment horizontal="center" vertical="center" wrapText="1"/>
    </xf>
    <xf numFmtId="167" fontId="5" fillId="2" borderId="0" xfId="9" applyNumberFormat="1" applyFont="1" applyFill="1"/>
    <xf numFmtId="3" fontId="30" fillId="2" borderId="12" xfId="11" applyNumberFormat="1" applyFont="1" applyFill="1" applyBorder="1" applyAlignment="1">
      <alignment horizontal="center" vertical="center" wrapText="1"/>
    </xf>
    <xf numFmtId="170" fontId="30" fillId="2" borderId="12" xfId="1" applyNumberFormat="1" applyFont="1" applyFill="1" applyBorder="1" applyAlignment="1">
      <alignment horizontal="center" vertical="center" wrapText="1"/>
    </xf>
    <xf numFmtId="3" fontId="30" fillId="2" borderId="12" xfId="11" quotePrefix="1" applyNumberFormat="1" applyFont="1" applyFill="1" applyBorder="1" applyAlignment="1">
      <alignment horizontal="center" vertical="center" wrapText="1"/>
    </xf>
    <xf numFmtId="0" fontId="30" fillId="2" borderId="0" xfId="0" applyFont="1" applyFill="1"/>
    <xf numFmtId="3" fontId="30" fillId="2" borderId="5" xfId="11" applyNumberFormat="1" applyFont="1" applyFill="1" applyBorder="1" applyAlignment="1">
      <alignment horizontal="center" vertical="center" wrapText="1"/>
    </xf>
    <xf numFmtId="170" fontId="30" fillId="2" borderId="5" xfId="1" applyNumberFormat="1" applyFont="1" applyFill="1" applyBorder="1" applyAlignment="1">
      <alignment horizontal="center" vertical="center" wrapText="1"/>
    </xf>
    <xf numFmtId="3" fontId="30" fillId="2" borderId="5" xfId="11" quotePrefix="1" applyNumberFormat="1" applyFont="1" applyFill="1" applyBorder="1" applyAlignment="1">
      <alignment horizontal="center" vertical="center" wrapText="1"/>
    </xf>
    <xf numFmtId="170" fontId="5" fillId="2" borderId="5" xfId="1" applyNumberFormat="1" applyFont="1" applyFill="1" applyBorder="1" applyAlignment="1">
      <alignment horizontal="center" vertical="center" wrapText="1"/>
    </xf>
    <xf numFmtId="170" fontId="5" fillId="2" borderId="1" xfId="1" quotePrefix="1" applyNumberFormat="1" applyFont="1" applyFill="1" applyBorder="1" applyAlignment="1">
      <alignment horizontal="center" vertical="center" wrapText="1"/>
    </xf>
    <xf numFmtId="0" fontId="5" fillId="2" borderId="12" xfId="9" applyFont="1" applyFill="1" applyBorder="1" applyAlignment="1">
      <alignment vertical="center" wrapText="1"/>
    </xf>
    <xf numFmtId="170" fontId="6" fillId="2" borderId="5" xfId="1" applyNumberFormat="1" applyFont="1" applyFill="1" applyBorder="1" applyAlignment="1">
      <alignment horizontal="right" vertical="center" wrapText="1"/>
    </xf>
    <xf numFmtId="170" fontId="6" fillId="2" borderId="5" xfId="1" applyNumberFormat="1" applyFont="1" applyFill="1" applyBorder="1"/>
    <xf numFmtId="0" fontId="24" fillId="2" borderId="13" xfId="9" applyFont="1" applyFill="1" applyBorder="1" applyAlignment="1">
      <alignment vertical="center" wrapText="1"/>
    </xf>
    <xf numFmtId="170" fontId="5" fillId="2" borderId="13" xfId="1" quotePrefix="1" applyNumberFormat="1" applyFont="1" applyFill="1" applyBorder="1" applyAlignment="1">
      <alignment horizontal="center" vertical="center" wrapText="1"/>
    </xf>
    <xf numFmtId="0" fontId="24" fillId="2" borderId="12" xfId="9" applyFont="1" applyFill="1" applyBorder="1" applyAlignment="1">
      <alignment vertical="center" wrapText="1"/>
    </xf>
    <xf numFmtId="3" fontId="5" fillId="2" borderId="12" xfId="11" quotePrefix="1" applyNumberFormat="1" applyFont="1" applyFill="1" applyBorder="1" applyAlignment="1">
      <alignment horizontal="center" vertical="center" wrapText="1"/>
    </xf>
    <xf numFmtId="0" fontId="5" fillId="2" borderId="1" xfId="0" applyFont="1" applyFill="1" applyBorder="1" applyAlignment="1">
      <alignment vertical="center" wrapText="1"/>
    </xf>
    <xf numFmtId="0" fontId="24" fillId="2" borderId="1" xfId="0" applyFont="1" applyFill="1" applyBorder="1" applyAlignment="1">
      <alignment vertical="center" wrapText="1"/>
    </xf>
    <xf numFmtId="0" fontId="6" fillId="2" borderId="12" xfId="0" applyFont="1" applyFill="1" applyBorder="1" applyAlignment="1">
      <alignment vertical="center" wrapText="1"/>
    </xf>
    <xf numFmtId="0" fontId="6" fillId="2" borderId="5" xfId="0" applyFont="1" applyFill="1" applyBorder="1" applyAlignment="1">
      <alignment vertical="center" wrapText="1"/>
    </xf>
    <xf numFmtId="3" fontId="6" fillId="2" borderId="5" xfId="11" quotePrefix="1" applyNumberFormat="1" applyFont="1" applyFill="1" applyBorder="1" applyAlignment="1">
      <alignment vertical="center" wrapText="1"/>
    </xf>
    <xf numFmtId="0" fontId="24" fillId="2" borderId="13" xfId="0" applyFont="1" applyFill="1" applyBorder="1" applyAlignment="1">
      <alignment vertical="center" wrapText="1"/>
    </xf>
    <xf numFmtId="165" fontId="5" fillId="2" borderId="1" xfId="11" applyNumberFormat="1" applyFont="1" applyFill="1" applyBorder="1" applyAlignment="1">
      <alignment horizontal="center" vertical="center" wrapText="1"/>
    </xf>
    <xf numFmtId="165" fontId="5" fillId="2" borderId="1" xfId="0" applyNumberFormat="1" applyFont="1" applyFill="1" applyBorder="1" applyAlignment="1">
      <alignment vertical="center" wrapText="1"/>
    </xf>
    <xf numFmtId="165" fontId="5" fillId="2" borderId="1" xfId="11" quotePrefix="1" applyNumberFormat="1" applyFont="1" applyFill="1" applyBorder="1" applyAlignment="1">
      <alignment horizontal="center" vertical="center" wrapText="1"/>
    </xf>
    <xf numFmtId="165" fontId="24" fillId="2" borderId="12" xfId="0" applyNumberFormat="1" applyFont="1" applyFill="1" applyBorder="1" applyAlignment="1">
      <alignment vertical="center" wrapText="1"/>
    </xf>
    <xf numFmtId="170" fontId="24" fillId="2" borderId="12" xfId="1" applyNumberFormat="1" applyFont="1" applyFill="1" applyBorder="1" applyAlignment="1">
      <alignment horizontal="center" vertical="center" wrapText="1"/>
    </xf>
    <xf numFmtId="165" fontId="24" fillId="2" borderId="12" xfId="11" quotePrefix="1" applyNumberFormat="1" applyFont="1" applyFill="1" applyBorder="1" applyAlignment="1">
      <alignment horizontal="center" vertical="center" wrapText="1"/>
    </xf>
    <xf numFmtId="165" fontId="6" fillId="2" borderId="5" xfId="0" applyNumberFormat="1" applyFont="1" applyFill="1" applyBorder="1" applyAlignment="1">
      <alignment vertical="center" wrapText="1"/>
    </xf>
    <xf numFmtId="165" fontId="6" fillId="2" borderId="5" xfId="11" quotePrefix="1" applyNumberFormat="1" applyFont="1" applyFill="1" applyBorder="1" applyAlignment="1">
      <alignment horizontal="center" vertical="center" wrapText="1"/>
    </xf>
    <xf numFmtId="165" fontId="24" fillId="2" borderId="13" xfId="0" applyNumberFormat="1" applyFont="1" applyFill="1" applyBorder="1" applyAlignment="1">
      <alignment vertical="center" wrapText="1"/>
    </xf>
    <xf numFmtId="3" fontId="6" fillId="2" borderId="1" xfId="11" applyNumberFormat="1" applyFont="1" applyFill="1" applyBorder="1" applyAlignment="1">
      <alignment horizontal="center" vertical="center" wrapText="1"/>
    </xf>
    <xf numFmtId="165" fontId="6" fillId="2" borderId="1" xfId="0" applyNumberFormat="1" applyFont="1" applyFill="1" applyBorder="1" applyAlignment="1">
      <alignment vertical="center" wrapText="1"/>
    </xf>
    <xf numFmtId="170" fontId="6" fillId="2" borderId="1" xfId="1" applyNumberFormat="1" applyFont="1" applyFill="1" applyBorder="1" applyAlignment="1">
      <alignment horizontal="center" vertical="center" wrapText="1"/>
    </xf>
    <xf numFmtId="170" fontId="6" fillId="2" borderId="1" xfId="1" quotePrefix="1" applyNumberFormat="1" applyFont="1" applyFill="1" applyBorder="1" applyAlignment="1">
      <alignment horizontal="center" vertical="center" wrapText="1"/>
    </xf>
    <xf numFmtId="165" fontId="6" fillId="2" borderId="1" xfId="11" quotePrefix="1" applyNumberFormat="1" applyFont="1" applyFill="1" applyBorder="1" applyAlignment="1">
      <alignment horizontal="center" vertical="center" wrapText="1"/>
    </xf>
    <xf numFmtId="0" fontId="5" fillId="2" borderId="1" xfId="3" applyFont="1" applyFill="1" applyBorder="1" applyAlignment="1">
      <alignment horizontal="center" vertical="center"/>
    </xf>
    <xf numFmtId="0" fontId="5" fillId="2" borderId="1" xfId="4" applyFont="1" applyFill="1" applyBorder="1" applyAlignment="1">
      <alignment horizontal="justify" vertical="center" wrapText="1"/>
    </xf>
    <xf numFmtId="0" fontId="6" fillId="2" borderId="1" xfId="4" applyFont="1" applyFill="1" applyBorder="1" applyAlignment="1">
      <alignment vertical="center" wrapText="1"/>
    </xf>
    <xf numFmtId="0" fontId="6" fillId="2" borderId="1" xfId="4" applyFont="1" applyFill="1" applyBorder="1" applyAlignment="1">
      <alignment horizontal="center" vertical="center" wrapText="1"/>
    </xf>
    <xf numFmtId="4" fontId="6" fillId="2" borderId="1" xfId="4" applyNumberFormat="1" applyFont="1" applyFill="1" applyBorder="1" applyAlignment="1">
      <alignment vertical="center" wrapText="1"/>
    </xf>
    <xf numFmtId="170" fontId="6" fillId="2" borderId="1" xfId="1" applyNumberFormat="1" applyFont="1" applyFill="1" applyBorder="1" applyAlignment="1">
      <alignment vertical="center" wrapText="1"/>
    </xf>
    <xf numFmtId="0" fontId="6" fillId="2" borderId="1" xfId="0" applyFont="1" applyFill="1" applyBorder="1" applyAlignment="1">
      <alignment vertical="center"/>
    </xf>
    <xf numFmtId="3" fontId="6" fillId="2" borderId="1" xfId="0" applyNumberFormat="1" applyFont="1" applyFill="1" applyBorder="1" applyAlignment="1">
      <alignment vertical="center"/>
    </xf>
    <xf numFmtId="170" fontId="5" fillId="2" borderId="1" xfId="1" applyNumberFormat="1" applyFont="1" applyFill="1" applyBorder="1" applyAlignment="1">
      <alignment horizontal="justify" vertical="center"/>
    </xf>
    <xf numFmtId="0" fontId="6" fillId="2" borderId="0" xfId="0" applyFont="1" applyFill="1" applyAlignment="1">
      <alignment vertical="center"/>
    </xf>
    <xf numFmtId="0" fontId="6" fillId="2" borderId="12" xfId="3" applyFont="1" applyFill="1" applyBorder="1" applyAlignment="1">
      <alignment horizontal="center" vertical="center"/>
    </xf>
    <xf numFmtId="166" fontId="6" fillId="2" borderId="12" xfId="7" applyNumberFormat="1" applyFont="1" applyFill="1" applyBorder="1" applyAlignment="1">
      <alignment horizontal="left" vertical="center" wrapText="1"/>
    </xf>
    <xf numFmtId="0" fontId="6" fillId="2" borderId="12" xfId="4" applyFont="1" applyFill="1" applyBorder="1" applyAlignment="1">
      <alignment vertical="center" wrapText="1"/>
    </xf>
    <xf numFmtId="0" fontId="6" fillId="2" borderId="12" xfId="4" applyFont="1" applyFill="1" applyBorder="1" applyAlignment="1">
      <alignment horizontal="center" vertical="center" wrapText="1"/>
    </xf>
    <xf numFmtId="4" fontId="6" fillId="2" borderId="12" xfId="4" applyNumberFormat="1" applyFont="1" applyFill="1" applyBorder="1" applyAlignment="1">
      <alignment vertical="center" wrapText="1"/>
    </xf>
    <xf numFmtId="170" fontId="6" fillId="2" borderId="12" xfId="1" applyNumberFormat="1" applyFont="1" applyFill="1" applyBorder="1" applyAlignment="1">
      <alignment vertical="center" wrapText="1"/>
    </xf>
    <xf numFmtId="0" fontId="6" fillId="2" borderId="12" xfId="0" applyFont="1" applyFill="1" applyBorder="1" applyAlignment="1">
      <alignment vertical="center"/>
    </xf>
    <xf numFmtId="3" fontId="6" fillId="2" borderId="12" xfId="0" applyNumberFormat="1" applyFont="1" applyFill="1" applyBorder="1" applyAlignment="1">
      <alignment vertical="center"/>
    </xf>
    <xf numFmtId="170" fontId="6" fillId="2" borderId="12" xfId="1" applyNumberFormat="1" applyFont="1" applyFill="1" applyBorder="1" applyAlignment="1">
      <alignment horizontal="justify" vertical="center" wrapText="1"/>
    </xf>
    <xf numFmtId="0" fontId="6" fillId="2" borderId="5" xfId="3" applyFont="1" applyFill="1" applyBorder="1" applyAlignment="1">
      <alignment horizontal="center" vertical="center"/>
    </xf>
    <xf numFmtId="165" fontId="6" fillId="2" borderId="5" xfId="7" applyNumberFormat="1" applyFont="1" applyFill="1" applyBorder="1" applyAlignment="1">
      <alignment horizontal="left" vertical="center" wrapText="1"/>
    </xf>
    <xf numFmtId="0" fontId="6" fillId="2" borderId="5" xfId="4" applyFont="1" applyFill="1" applyBorder="1" applyAlignment="1">
      <alignment vertical="center" wrapText="1"/>
    </xf>
    <xf numFmtId="0" fontId="6" fillId="2" borderId="5" xfId="4" applyFont="1" applyFill="1" applyBorder="1" applyAlignment="1">
      <alignment horizontal="center" vertical="center" wrapText="1"/>
    </xf>
    <xf numFmtId="4" fontId="6" fillId="2" borderId="5" xfId="4" applyNumberFormat="1" applyFont="1" applyFill="1" applyBorder="1" applyAlignment="1">
      <alignment vertical="center" wrapText="1"/>
    </xf>
    <xf numFmtId="170" fontId="6" fillId="2" borderId="5" xfId="1" applyNumberFormat="1" applyFont="1" applyFill="1" applyBorder="1" applyAlignment="1">
      <alignment vertical="center" wrapText="1"/>
    </xf>
    <xf numFmtId="0" fontId="6" fillId="2" borderId="5" xfId="0" applyFont="1" applyFill="1" applyBorder="1" applyAlignment="1">
      <alignment vertical="center"/>
    </xf>
    <xf numFmtId="3" fontId="6" fillId="2" borderId="5" xfId="0" applyNumberFormat="1" applyFont="1" applyFill="1" applyBorder="1" applyAlignment="1">
      <alignment vertical="center"/>
    </xf>
    <xf numFmtId="170" fontId="6" fillId="2" borderId="5" xfId="1" applyNumberFormat="1" applyFont="1" applyFill="1" applyBorder="1" applyAlignment="1">
      <alignment horizontal="justify" vertical="center"/>
    </xf>
    <xf numFmtId="170" fontId="6" fillId="2" borderId="0" xfId="0" applyNumberFormat="1" applyFont="1" applyFill="1" applyAlignment="1">
      <alignment vertical="center"/>
    </xf>
    <xf numFmtId="166" fontId="6" fillId="2" borderId="5" xfId="7" applyNumberFormat="1" applyFont="1" applyFill="1" applyBorder="1" applyAlignment="1">
      <alignment horizontal="left" vertical="center" wrapText="1"/>
    </xf>
    <xf numFmtId="3" fontId="31" fillId="0" borderId="1" xfId="11" quotePrefix="1" applyNumberFormat="1" applyFont="1" applyBorder="1" applyAlignment="1">
      <alignment horizontal="center" vertical="center" wrapText="1"/>
    </xf>
    <xf numFmtId="3" fontId="31" fillId="0" borderId="1" xfId="11" applyNumberFormat="1" applyFont="1" applyBorder="1" applyAlignment="1">
      <alignment horizontal="center" vertical="center" wrapText="1"/>
    </xf>
    <xf numFmtId="3" fontId="31" fillId="0" borderId="1" xfId="11" quotePrefix="1" applyNumberFormat="1" applyFont="1" applyBorder="1" applyAlignment="1">
      <alignment horizontal="right" vertical="center" wrapText="1"/>
    </xf>
    <xf numFmtId="0" fontId="6" fillId="0" borderId="0" xfId="0" applyFont="1"/>
    <xf numFmtId="3" fontId="9" fillId="0" borderId="8" xfId="11" applyNumberFormat="1" applyFont="1" applyBorder="1" applyAlignment="1">
      <alignment vertical="center" wrapText="1"/>
    </xf>
    <xf numFmtId="170" fontId="5" fillId="2" borderId="1" xfId="1" applyNumberFormat="1" applyFont="1" applyFill="1" applyBorder="1" applyAlignment="1">
      <alignment vertical="center" wrapText="1"/>
    </xf>
    <xf numFmtId="0" fontId="6" fillId="2" borderId="0" xfId="0" applyFont="1" applyFill="1"/>
    <xf numFmtId="170" fontId="27" fillId="2" borderId="5" xfId="1" applyNumberFormat="1" applyFont="1" applyFill="1" applyBorder="1"/>
    <xf numFmtId="0" fontId="27" fillId="2" borderId="0" xfId="9" applyFont="1" applyFill="1" applyAlignment="1">
      <alignment horizontal="center"/>
    </xf>
    <xf numFmtId="170" fontId="27" fillId="2" borderId="0" xfId="1" applyNumberFormat="1" applyFont="1" applyFill="1"/>
    <xf numFmtId="170" fontId="5" fillId="3" borderId="1" xfId="1" applyNumberFormat="1" applyFont="1" applyFill="1" applyBorder="1" applyAlignment="1">
      <alignment horizontal="center" vertical="center" wrapText="1"/>
    </xf>
    <xf numFmtId="170" fontId="24" fillId="3" borderId="1" xfId="1" applyNumberFormat="1" applyFont="1" applyFill="1" applyBorder="1" applyAlignment="1">
      <alignment horizontal="center" vertical="center" wrapText="1"/>
    </xf>
    <xf numFmtId="170" fontId="0" fillId="0" borderId="0" xfId="0" applyNumberFormat="1"/>
    <xf numFmtId="0" fontId="0" fillId="0" borderId="1" xfId="0" applyBorder="1"/>
    <xf numFmtId="170" fontId="0" fillId="0" borderId="1" xfId="0" applyNumberFormat="1" applyBorder="1"/>
    <xf numFmtId="170" fontId="0" fillId="0" borderId="1" xfId="1" applyNumberFormat="1" applyFont="1" applyBorder="1"/>
    <xf numFmtId="0" fontId="34" fillId="4" borderId="0" xfId="0" applyFont="1" applyFill="1"/>
    <xf numFmtId="0" fontId="0" fillId="0" borderId="0" xfId="0" applyAlignment="1">
      <alignment vertical="center" wrapText="1"/>
    </xf>
    <xf numFmtId="170" fontId="0" fillId="0" borderId="0" xfId="0" applyNumberFormat="1" applyAlignment="1">
      <alignment vertical="center"/>
    </xf>
    <xf numFmtId="0" fontId="0" fillId="0" borderId="0" xfId="0" applyAlignment="1">
      <alignment vertical="center"/>
    </xf>
    <xf numFmtId="0" fontId="35" fillId="0" borderId="0" xfId="0" applyFont="1"/>
    <xf numFmtId="3" fontId="36" fillId="0" borderId="1" xfId="11" applyNumberFormat="1" applyFont="1" applyBorder="1" applyAlignment="1">
      <alignment horizontal="center" vertical="center" wrapText="1"/>
    </xf>
    <xf numFmtId="0" fontId="35" fillId="0" borderId="1" xfId="0" applyFont="1" applyBorder="1" applyAlignment="1">
      <alignment horizontal="center" vertical="center"/>
    </xf>
    <xf numFmtId="0" fontId="37" fillId="0" borderId="1" xfId="0" applyFont="1" applyBorder="1"/>
    <xf numFmtId="170" fontId="37" fillId="0" borderId="1" xfId="0" applyNumberFormat="1" applyFont="1" applyBorder="1"/>
    <xf numFmtId="170" fontId="37" fillId="0" borderId="1" xfId="1" applyNumberFormat="1" applyFont="1" applyBorder="1"/>
    <xf numFmtId="0" fontId="37" fillId="0" borderId="0" xfId="0" applyFont="1"/>
    <xf numFmtId="0" fontId="35" fillId="0" borderId="1" xfId="0" applyFont="1" applyBorder="1"/>
    <xf numFmtId="170" fontId="35" fillId="0" borderId="1" xfId="0" applyNumberFormat="1" applyFont="1" applyBorder="1"/>
    <xf numFmtId="170" fontId="5" fillId="2" borderId="1" xfId="1" applyNumberFormat="1" applyFont="1" applyFill="1" applyBorder="1" applyAlignment="1">
      <alignment horizontal="center" vertical="center" wrapText="1"/>
    </xf>
    <xf numFmtId="170" fontId="37" fillId="3" borderId="1" xfId="1" applyNumberFormat="1" applyFont="1" applyFill="1" applyBorder="1"/>
    <xf numFmtId="0" fontId="6" fillId="2" borderId="5" xfId="4" quotePrefix="1" applyFont="1" applyFill="1" applyBorder="1" applyAlignment="1">
      <alignment vertical="center" wrapText="1"/>
    </xf>
    <xf numFmtId="170" fontId="6" fillId="2" borderId="5" xfId="1" applyNumberFormat="1" applyFont="1" applyFill="1" applyBorder="1" applyAlignment="1">
      <alignment horizontal="justify" vertical="center" wrapText="1"/>
    </xf>
    <xf numFmtId="0" fontId="6" fillId="2" borderId="13" xfId="3" applyFont="1" applyFill="1" applyBorder="1" applyAlignment="1">
      <alignment horizontal="center" vertical="center"/>
    </xf>
    <xf numFmtId="166" fontId="6" fillId="2" borderId="13" xfId="7" applyNumberFormat="1" applyFont="1" applyFill="1" applyBorder="1" applyAlignment="1">
      <alignment horizontal="left" vertical="center" wrapText="1"/>
    </xf>
    <xf numFmtId="0" fontId="6" fillId="2" borderId="13" xfId="4" quotePrefix="1" applyFont="1" applyFill="1" applyBorder="1" applyAlignment="1">
      <alignment vertical="center" wrapText="1"/>
    </xf>
    <xf numFmtId="0" fontId="6" fillId="2" borderId="13" xfId="4" applyFont="1" applyFill="1" applyBorder="1" applyAlignment="1">
      <alignment horizontal="center" vertical="center" wrapText="1"/>
    </xf>
    <xf numFmtId="4" fontId="6" fillId="2" borderId="13" xfId="4" applyNumberFormat="1" applyFont="1" applyFill="1" applyBorder="1" applyAlignment="1">
      <alignment vertical="center" wrapText="1"/>
    </xf>
    <xf numFmtId="170" fontId="6" fillId="2" borderId="13" xfId="1" applyNumberFormat="1" applyFont="1" applyFill="1" applyBorder="1" applyAlignment="1">
      <alignment vertical="center" wrapText="1"/>
    </xf>
    <xf numFmtId="0" fontId="6" fillId="2" borderId="13" xfId="0" applyFont="1" applyFill="1" applyBorder="1" applyAlignment="1">
      <alignment vertical="center"/>
    </xf>
    <xf numFmtId="3" fontId="6" fillId="2" borderId="13" xfId="0" applyNumberFormat="1" applyFont="1" applyFill="1" applyBorder="1" applyAlignment="1">
      <alignment vertical="center"/>
    </xf>
    <xf numFmtId="170" fontId="6" fillId="2" borderId="13" xfId="1" applyNumberFormat="1"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5" xfId="0" applyFont="1" applyFill="1" applyBorder="1" applyAlignment="1">
      <alignment horizontal="justify" vertical="center" wrapText="1"/>
    </xf>
    <xf numFmtId="170" fontId="5" fillId="2" borderId="3" xfId="1" applyNumberFormat="1" applyFont="1" applyFill="1" applyBorder="1" applyAlignment="1">
      <alignment horizontal="center" vertical="center" wrapText="1"/>
    </xf>
    <xf numFmtId="170" fontId="5" fillId="2" borderId="1" xfId="1" applyNumberFormat="1" applyFont="1" applyFill="1" applyBorder="1" applyAlignment="1">
      <alignment horizontal="center" vertical="center" wrapText="1"/>
    </xf>
    <xf numFmtId="170" fontId="0" fillId="3" borderId="1" xfId="1" applyNumberFormat="1" applyFont="1" applyFill="1" applyBorder="1"/>
    <xf numFmtId="170" fontId="5" fillId="3" borderId="13" xfId="1" quotePrefix="1" applyNumberFormat="1" applyFont="1" applyFill="1" applyBorder="1" applyAlignment="1">
      <alignment horizontal="center" vertical="center" wrapText="1"/>
    </xf>
    <xf numFmtId="170" fontId="5" fillId="2" borderId="3" xfId="1" applyNumberFormat="1" applyFont="1" applyFill="1" applyBorder="1" applyAlignment="1">
      <alignment horizontal="center" vertical="center" wrapText="1"/>
    </xf>
    <xf numFmtId="170" fontId="5" fillId="2" borderId="1" xfId="1" applyNumberFormat="1" applyFont="1" applyFill="1" applyBorder="1" applyAlignment="1">
      <alignment horizontal="center" vertical="center" wrapText="1"/>
    </xf>
    <xf numFmtId="170" fontId="5" fillId="2" borderId="1" xfId="1" applyNumberFormat="1" applyFont="1" applyFill="1" applyBorder="1" applyAlignment="1">
      <alignment horizontal="center" vertical="center" wrapText="1"/>
    </xf>
    <xf numFmtId="3" fontId="5" fillId="2" borderId="1" xfId="11" applyNumberFormat="1" applyFont="1" applyFill="1" applyBorder="1" applyAlignment="1">
      <alignment vertical="center" wrapText="1"/>
    </xf>
    <xf numFmtId="0" fontId="13" fillId="2" borderId="0" xfId="0" applyFont="1" applyFill="1" applyAlignment="1">
      <alignment horizontal="right" vertical="center"/>
    </xf>
    <xf numFmtId="0" fontId="6" fillId="2" borderId="0" xfId="0" applyFont="1" applyFill="1" applyAlignment="1">
      <alignment horizontal="center" vertical="center"/>
    </xf>
    <xf numFmtId="170" fontId="6" fillId="2" borderId="0" xfId="1" applyNumberFormat="1" applyFont="1" applyFill="1" applyAlignment="1">
      <alignment horizontal="right" vertical="center"/>
    </xf>
    <xf numFmtId="0" fontId="30" fillId="2" borderId="0" xfId="0" applyFont="1" applyFill="1" applyAlignment="1">
      <alignment horizontal="center" vertical="center"/>
    </xf>
    <xf numFmtId="0" fontId="5" fillId="2" borderId="9" xfId="2" applyFont="1" applyFill="1" applyBorder="1" applyAlignment="1">
      <alignment horizontal="center" vertical="center" wrapText="1"/>
    </xf>
    <xf numFmtId="4" fontId="5" fillId="2" borderId="3" xfId="2" applyNumberFormat="1" applyFont="1" applyFill="1" applyBorder="1" applyAlignment="1">
      <alignment horizontal="center" vertical="center" wrapText="1"/>
    </xf>
    <xf numFmtId="4" fontId="5" fillId="2" borderId="1" xfId="2" applyNumberFormat="1" applyFont="1" applyFill="1" applyBorder="1" applyAlignment="1">
      <alignment horizontal="center" vertical="center" wrapText="1"/>
    </xf>
    <xf numFmtId="4" fontId="5" fillId="2" borderId="10" xfId="2" applyNumberFormat="1" applyFont="1" applyFill="1" applyBorder="1" applyAlignment="1">
      <alignment horizontal="center" vertical="center" wrapText="1"/>
    </xf>
    <xf numFmtId="0" fontId="5" fillId="2" borderId="1" xfId="2" applyFont="1" applyFill="1" applyBorder="1" applyAlignment="1">
      <alignment horizontal="center" vertical="center"/>
    </xf>
    <xf numFmtId="0" fontId="6" fillId="2" borderId="0" xfId="2" applyFont="1" applyFill="1" applyAlignment="1">
      <alignment vertical="center"/>
    </xf>
    <xf numFmtId="0" fontId="5" fillId="2" borderId="1" xfId="0" applyFont="1" applyFill="1" applyBorder="1" applyAlignment="1">
      <alignment horizontal="justify" vertical="center"/>
    </xf>
    <xf numFmtId="0" fontId="5" fillId="2" borderId="1" xfId="4" applyFont="1" applyFill="1" applyBorder="1" applyAlignment="1">
      <alignment horizontal="center" vertical="center" wrapText="1"/>
    </xf>
    <xf numFmtId="3" fontId="5" fillId="2" borderId="1" xfId="4" applyNumberFormat="1" applyFont="1" applyFill="1" applyBorder="1" applyAlignment="1">
      <alignment horizontal="right" vertical="center" wrapText="1"/>
    </xf>
    <xf numFmtId="170" fontId="5" fillId="2" borderId="13" xfId="1" applyNumberFormat="1" applyFont="1" applyFill="1" applyBorder="1" applyAlignment="1">
      <alignment horizontal="right"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6" fillId="2" borderId="1" xfId="0" applyFont="1" applyFill="1" applyBorder="1" applyAlignment="1">
      <alignment horizontal="center" vertical="center"/>
    </xf>
    <xf numFmtId="3" fontId="5" fillId="2" borderId="1" xfId="0" applyNumberFormat="1" applyFont="1" applyFill="1" applyBorder="1" applyAlignment="1">
      <alignment horizontal="right" vertical="center"/>
    </xf>
    <xf numFmtId="170" fontId="5" fillId="2" borderId="1" xfId="1" applyNumberFormat="1" applyFont="1" applyFill="1" applyBorder="1" applyAlignment="1">
      <alignment horizontal="right" vertical="center" wrapText="1"/>
    </xf>
    <xf numFmtId="170" fontId="5" fillId="2" borderId="1" xfId="1" applyNumberFormat="1" applyFont="1" applyFill="1" applyBorder="1" applyAlignment="1">
      <alignment horizontal="right" vertical="center"/>
    </xf>
    <xf numFmtId="4" fontId="5" fillId="2" borderId="1" xfId="0" applyNumberFormat="1" applyFont="1" applyFill="1" applyBorder="1" applyAlignment="1">
      <alignment vertical="center"/>
    </xf>
    <xf numFmtId="3" fontId="5" fillId="2" borderId="1" xfId="0" applyNumberFormat="1" applyFont="1" applyFill="1" applyBorder="1" applyAlignment="1">
      <alignment vertical="center"/>
    </xf>
    <xf numFmtId="0" fontId="6" fillId="2" borderId="12" xfId="4" applyFont="1" applyFill="1" applyBorder="1" applyAlignment="1">
      <alignment horizontal="justify" vertical="center" wrapText="1"/>
    </xf>
    <xf numFmtId="4" fontId="6" fillId="2" borderId="12" xfId="4" applyNumberFormat="1" applyFont="1" applyFill="1" applyBorder="1" applyAlignment="1">
      <alignment horizontal="right" vertical="center" wrapText="1"/>
    </xf>
    <xf numFmtId="170" fontId="6" fillId="2" borderId="12" xfId="1" applyNumberFormat="1" applyFont="1" applyFill="1" applyBorder="1" applyAlignment="1">
      <alignment horizontal="right" vertical="center" wrapText="1"/>
    </xf>
    <xf numFmtId="0" fontId="6" fillId="2" borderId="13" xfId="4" applyFont="1" applyFill="1" applyBorder="1" applyAlignment="1">
      <alignment horizontal="justify" vertical="center" wrapText="1"/>
    </xf>
    <xf numFmtId="0" fontId="6" fillId="2" borderId="13" xfId="4" applyFont="1" applyFill="1" applyBorder="1" applyAlignment="1">
      <alignment vertical="center" wrapText="1"/>
    </xf>
    <xf numFmtId="4" fontId="6" fillId="2" borderId="13" xfId="4" applyNumberFormat="1" applyFont="1" applyFill="1" applyBorder="1" applyAlignment="1">
      <alignment horizontal="right" vertical="center" wrapText="1"/>
    </xf>
    <xf numFmtId="170" fontId="6" fillId="2" borderId="13" xfId="1" applyNumberFormat="1" applyFont="1" applyFill="1" applyBorder="1" applyAlignment="1">
      <alignment horizontal="right" vertical="center" wrapText="1"/>
    </xf>
    <xf numFmtId="170" fontId="5" fillId="2" borderId="12" xfId="1" applyNumberFormat="1" applyFont="1" applyFill="1" applyBorder="1" applyAlignment="1">
      <alignment horizontal="right" vertical="center" wrapText="1"/>
    </xf>
    <xf numFmtId="4" fontId="5" fillId="2" borderId="1" xfId="4" applyNumberFormat="1" applyFont="1" applyFill="1" applyBorder="1" applyAlignment="1">
      <alignment vertical="center" wrapText="1"/>
    </xf>
    <xf numFmtId="0" fontId="5" fillId="2" borderId="1" xfId="0" applyFont="1" applyFill="1" applyBorder="1" applyAlignment="1">
      <alignment vertical="center"/>
    </xf>
    <xf numFmtId="3" fontId="5" fillId="2" borderId="12" xfId="0" applyNumberFormat="1" applyFont="1" applyFill="1" applyBorder="1" applyAlignment="1">
      <alignment vertical="center"/>
    </xf>
    <xf numFmtId="166" fontId="6" fillId="2" borderId="12" xfId="0" applyNumberFormat="1" applyFont="1" applyFill="1" applyBorder="1" applyAlignment="1">
      <alignment horizontal="right" vertical="center"/>
    </xf>
    <xf numFmtId="4" fontId="6" fillId="2" borderId="12" xfId="0" applyNumberFormat="1" applyFont="1" applyFill="1" applyBorder="1" applyAlignment="1">
      <alignment vertical="center"/>
    </xf>
    <xf numFmtId="168" fontId="6" fillId="2" borderId="12" xfId="0" applyNumberFormat="1" applyFont="1" applyFill="1" applyBorder="1" applyAlignment="1">
      <alignment vertical="center"/>
    </xf>
    <xf numFmtId="166" fontId="6" fillId="2" borderId="13" xfId="0" applyNumberFormat="1" applyFont="1" applyFill="1" applyBorder="1" applyAlignment="1">
      <alignment vertical="center"/>
    </xf>
    <xf numFmtId="4" fontId="6" fillId="2" borderId="13" xfId="0" applyNumberFormat="1" applyFont="1" applyFill="1" applyBorder="1" applyAlignment="1">
      <alignment vertical="center"/>
    </xf>
    <xf numFmtId="168" fontId="6" fillId="2" borderId="13" xfId="0" applyNumberFormat="1" applyFont="1" applyFill="1" applyBorder="1" applyAlignment="1">
      <alignment vertical="center"/>
    </xf>
    <xf numFmtId="0" fontId="5" fillId="2" borderId="1" xfId="4" applyFont="1" applyFill="1" applyBorder="1" applyAlignment="1">
      <alignment vertical="center" wrapText="1"/>
    </xf>
    <xf numFmtId="0" fontId="6" fillId="2" borderId="12" xfId="0" applyFont="1" applyFill="1" applyBorder="1" applyAlignment="1">
      <alignment horizontal="right" vertical="center" wrapText="1"/>
    </xf>
    <xf numFmtId="3" fontId="6" fillId="2" borderId="12" xfId="0" applyNumberFormat="1" applyFont="1" applyFill="1" applyBorder="1" applyAlignment="1">
      <alignment vertical="center" wrapText="1"/>
    </xf>
    <xf numFmtId="0" fontId="6" fillId="2" borderId="13" xfId="0" applyFont="1" applyFill="1" applyBorder="1" applyAlignment="1">
      <alignment horizontal="right" vertical="center" wrapText="1"/>
    </xf>
    <xf numFmtId="3" fontId="6" fillId="2" borderId="13" xfId="0" applyNumberFormat="1" applyFont="1" applyFill="1" applyBorder="1" applyAlignment="1">
      <alignment vertical="center" wrapText="1"/>
    </xf>
    <xf numFmtId="0" fontId="5" fillId="2" borderId="1" xfId="3" applyFont="1" applyFill="1" applyBorder="1" applyAlignment="1">
      <alignment horizontal="justify" vertical="center" wrapText="1"/>
    </xf>
    <xf numFmtId="0" fontId="5" fillId="2" borderId="1" xfId="3" applyFont="1" applyFill="1" applyBorder="1" applyAlignment="1">
      <alignment vertical="center" wrapText="1"/>
    </xf>
    <xf numFmtId="4" fontId="5" fillId="2" borderId="1" xfId="3" applyNumberFormat="1" applyFont="1" applyFill="1" applyBorder="1" applyAlignment="1">
      <alignment horizontal="center" vertical="center" wrapText="1"/>
    </xf>
    <xf numFmtId="0" fontId="6" fillId="2" borderId="12" xfId="4" applyFont="1" applyFill="1" applyBorder="1" applyAlignment="1">
      <alignment horizontal="left" vertical="center" wrapText="1"/>
    </xf>
    <xf numFmtId="164" fontId="6" fillId="2" borderId="12" xfId="1" applyFont="1" applyFill="1" applyBorder="1" applyAlignment="1">
      <alignment horizontal="right" vertical="center" wrapText="1"/>
    </xf>
    <xf numFmtId="166" fontId="6" fillId="2" borderId="12" xfId="4" applyNumberFormat="1" applyFont="1" applyFill="1" applyBorder="1" applyAlignment="1">
      <alignment horizontal="right" vertical="center" wrapText="1"/>
    </xf>
    <xf numFmtId="3" fontId="6" fillId="2" borderId="12" xfId="4" applyNumberFormat="1" applyFont="1" applyFill="1" applyBorder="1" applyAlignment="1">
      <alignment horizontal="right" vertical="center" wrapText="1"/>
    </xf>
    <xf numFmtId="170" fontId="6" fillId="2" borderId="15" xfId="1" applyNumberFormat="1" applyFont="1" applyFill="1" applyBorder="1" applyAlignment="1">
      <alignment horizontal="right" vertical="center" wrapText="1"/>
    </xf>
    <xf numFmtId="0" fontId="6" fillId="2" borderId="5" xfId="3" applyFont="1" applyFill="1" applyBorder="1" applyAlignment="1">
      <alignment vertical="center" wrapText="1"/>
    </xf>
    <xf numFmtId="4" fontId="6" fillId="2" borderId="5" xfId="4" applyNumberFormat="1" applyFont="1" applyFill="1" applyBorder="1" applyAlignment="1">
      <alignment horizontal="right" vertical="center" wrapText="1"/>
    </xf>
    <xf numFmtId="164" fontId="6" fillId="2" borderId="5" xfId="1" applyFont="1" applyFill="1" applyBorder="1" applyAlignment="1">
      <alignment horizontal="right" vertical="center" wrapText="1"/>
    </xf>
    <xf numFmtId="166" fontId="6" fillId="2" borderId="5" xfId="4" applyNumberFormat="1" applyFont="1" applyFill="1" applyBorder="1" applyAlignment="1">
      <alignment horizontal="right" vertical="center" wrapText="1"/>
    </xf>
    <xf numFmtId="3" fontId="6" fillId="2" borderId="5" xfId="4" applyNumberFormat="1" applyFont="1" applyFill="1" applyBorder="1" applyAlignment="1">
      <alignment horizontal="right"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right" vertical="center" wrapText="1"/>
    </xf>
    <xf numFmtId="169" fontId="6" fillId="2" borderId="5" xfId="0" applyNumberFormat="1" applyFont="1" applyFill="1" applyBorder="1" applyAlignment="1">
      <alignment horizontal="right" vertical="center" wrapText="1"/>
    </xf>
    <xf numFmtId="170" fontId="6" fillId="2" borderId="5" xfId="1" applyNumberFormat="1" applyFont="1" applyFill="1" applyBorder="1" applyAlignment="1">
      <alignment vertical="center"/>
    </xf>
    <xf numFmtId="0" fontId="6" fillId="2" borderId="5" xfId="4" applyFont="1" applyFill="1" applyBorder="1" applyAlignment="1">
      <alignment horizontal="left" vertical="center" wrapText="1"/>
    </xf>
    <xf numFmtId="169" fontId="6" fillId="2" borderId="5" xfId="4" applyNumberFormat="1" applyFont="1" applyFill="1" applyBorder="1" applyAlignment="1">
      <alignment horizontal="right" vertical="center" wrapText="1"/>
    </xf>
    <xf numFmtId="4" fontId="5" fillId="2" borderId="1" xfId="3" applyNumberFormat="1" applyFont="1" applyFill="1" applyBorder="1" applyAlignment="1">
      <alignment horizontal="right" vertical="center"/>
    </xf>
    <xf numFmtId="0" fontId="6" fillId="2" borderId="1" xfId="3" applyFont="1" applyFill="1" applyBorder="1" applyAlignment="1">
      <alignment horizontal="center" vertical="center"/>
    </xf>
    <xf numFmtId="0" fontId="6" fillId="2" borderId="1" xfId="0" applyFont="1" applyFill="1" applyBorder="1" applyAlignment="1">
      <alignment horizontal="justify" vertical="center"/>
    </xf>
    <xf numFmtId="4" fontId="6" fillId="2" borderId="1" xfId="4" applyNumberFormat="1" applyFont="1" applyFill="1" applyBorder="1" applyAlignment="1">
      <alignment horizontal="right" vertical="center" wrapText="1"/>
    </xf>
    <xf numFmtId="3" fontId="6" fillId="2" borderId="1" xfId="4" applyNumberFormat="1" applyFont="1" applyFill="1" applyBorder="1" applyAlignment="1">
      <alignment horizontal="right" vertical="center" wrapText="1"/>
    </xf>
    <xf numFmtId="170" fontId="6" fillId="2" borderId="1" xfId="1" applyNumberFormat="1" applyFont="1" applyFill="1" applyBorder="1" applyAlignment="1">
      <alignment horizontal="right" vertical="center" wrapText="1"/>
    </xf>
    <xf numFmtId="170" fontId="6" fillId="2" borderId="1" xfId="1" applyNumberFormat="1" applyFont="1" applyFill="1" applyBorder="1" applyAlignment="1">
      <alignment horizontal="justify" vertical="center"/>
    </xf>
    <xf numFmtId="0" fontId="6" fillId="2" borderId="15" xfId="3" applyFont="1" applyFill="1" applyBorder="1" applyAlignment="1">
      <alignment horizontal="center" vertical="center"/>
    </xf>
    <xf numFmtId="0" fontId="6" fillId="2" borderId="15" xfId="4" applyFont="1" applyFill="1" applyBorder="1" applyAlignment="1">
      <alignment horizontal="justify" vertical="center" wrapText="1"/>
    </xf>
    <xf numFmtId="0" fontId="6" fillId="2" borderId="15" xfId="4" applyFont="1" applyFill="1" applyBorder="1" applyAlignment="1">
      <alignment vertical="center" wrapText="1"/>
    </xf>
    <xf numFmtId="0" fontId="6" fillId="2" borderId="15" xfId="4" applyFont="1" applyFill="1" applyBorder="1" applyAlignment="1">
      <alignment horizontal="center" vertical="center" wrapText="1"/>
    </xf>
    <xf numFmtId="4" fontId="6" fillId="2" borderId="15" xfId="4" applyNumberFormat="1" applyFont="1" applyFill="1" applyBorder="1" applyAlignment="1">
      <alignment vertical="center" wrapText="1"/>
    </xf>
    <xf numFmtId="0" fontId="6" fillId="2" borderId="15" xfId="0" applyFont="1" applyFill="1" applyBorder="1" applyAlignment="1">
      <alignment vertical="center"/>
    </xf>
    <xf numFmtId="3" fontId="6" fillId="2" borderId="15" xfId="0" applyNumberFormat="1" applyFont="1" applyFill="1" applyBorder="1" applyAlignment="1">
      <alignment vertical="center"/>
    </xf>
    <xf numFmtId="0" fontId="6" fillId="2" borderId="15" xfId="1" applyNumberFormat="1" applyFont="1" applyFill="1" applyBorder="1" applyAlignment="1">
      <alignment horizontal="justify" vertical="center" wrapText="1"/>
    </xf>
    <xf numFmtId="164" fontId="6" fillId="2" borderId="13" xfId="1" applyFont="1" applyFill="1" applyBorder="1" applyAlignment="1">
      <alignment horizontal="right" vertical="center" wrapText="1"/>
    </xf>
    <xf numFmtId="169" fontId="6" fillId="2" borderId="13" xfId="4" applyNumberFormat="1" applyFont="1" applyFill="1" applyBorder="1" applyAlignment="1">
      <alignment horizontal="right" vertical="center" wrapText="1"/>
    </xf>
    <xf numFmtId="170" fontId="6" fillId="2" borderId="13" xfId="1" applyNumberFormat="1" applyFont="1" applyFill="1" applyBorder="1" applyAlignment="1">
      <alignment horizontal="right" vertical="center"/>
    </xf>
    <xf numFmtId="0" fontId="5" fillId="2" borderId="0" xfId="0" applyFont="1" applyFill="1" applyAlignment="1">
      <alignment horizontal="center" vertical="center"/>
    </xf>
    <xf numFmtId="170" fontId="13" fillId="2" borderId="0" xfId="1" applyNumberFormat="1" applyFont="1" applyFill="1" applyAlignment="1">
      <alignment vertical="center"/>
    </xf>
    <xf numFmtId="0" fontId="13" fillId="2" borderId="0" xfId="0" applyFont="1" applyFill="1" applyAlignment="1">
      <alignment vertical="center"/>
    </xf>
    <xf numFmtId="0" fontId="5" fillId="2" borderId="0" xfId="0" applyFont="1" applyFill="1" applyAlignment="1">
      <alignment horizontal="right" vertical="center"/>
    </xf>
    <xf numFmtId="170" fontId="5" fillId="2" borderId="0" xfId="1" applyNumberFormat="1" applyFont="1" applyFill="1" applyAlignment="1">
      <alignment horizontal="right" vertical="center"/>
    </xf>
    <xf numFmtId="170" fontId="12" fillId="2" borderId="0" xfId="1" applyNumberFormat="1" applyFont="1" applyFill="1" applyAlignment="1">
      <alignment vertical="center"/>
    </xf>
    <xf numFmtId="0" fontId="12" fillId="2" borderId="0" xfId="0" applyFont="1" applyFill="1" applyAlignment="1">
      <alignment vertical="center"/>
    </xf>
    <xf numFmtId="0" fontId="6" fillId="2" borderId="0" xfId="0" applyFont="1" applyFill="1" applyAlignment="1">
      <alignment horizontal="right" vertical="center"/>
    </xf>
    <xf numFmtId="3" fontId="6" fillId="2" borderId="0" xfId="0" applyNumberFormat="1" applyFont="1" applyFill="1" applyAlignment="1">
      <alignment horizontal="center" vertical="center"/>
    </xf>
    <xf numFmtId="4" fontId="3" fillId="0" borderId="2" xfId="2" applyNumberFormat="1" applyFont="1" applyBorder="1" applyAlignment="1">
      <alignment horizontal="center" vertical="center" wrapText="1"/>
    </xf>
    <xf numFmtId="4" fontId="3" fillId="0" borderId="3" xfId="2" applyNumberFormat="1" applyFont="1" applyBorder="1" applyAlignment="1">
      <alignment horizontal="center" vertical="center" wrapText="1"/>
    </xf>
    <xf numFmtId="4"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0" fontId="13"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 fontId="5" fillId="2" borderId="1" xfId="2" applyNumberFormat="1" applyFont="1" applyFill="1" applyBorder="1" applyAlignment="1">
      <alignment horizontal="center" vertical="center" wrapText="1"/>
    </xf>
    <xf numFmtId="170" fontId="5" fillId="2" borderId="1" xfId="1"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3" fillId="2" borderId="0" xfId="0" applyFont="1" applyFill="1" applyAlignment="1">
      <alignment horizontal="center" vertical="center"/>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0" xfId="0" applyFont="1" applyFill="1" applyAlignment="1">
      <alignment horizontal="justify" vertical="center" wrapText="1"/>
    </xf>
    <xf numFmtId="0" fontId="5" fillId="2" borderId="1" xfId="0" applyFont="1" applyFill="1" applyBorder="1" applyAlignment="1">
      <alignment horizontal="center" vertical="center" wrapText="1"/>
    </xf>
    <xf numFmtId="0" fontId="13" fillId="2" borderId="0" xfId="0" applyFont="1" applyFill="1" applyAlignment="1">
      <alignment horizontal="center" vertical="center"/>
    </xf>
    <xf numFmtId="0" fontId="5" fillId="2" borderId="1" xfId="2" applyFont="1" applyFill="1" applyBorder="1" applyAlignment="1">
      <alignment horizontal="center" vertical="center" wrapText="1"/>
    </xf>
    <xf numFmtId="3" fontId="13" fillId="2" borderId="0" xfId="11" applyNumberFormat="1" applyFont="1" applyFill="1" applyAlignment="1">
      <alignment horizontal="center" vertical="center" wrapText="1"/>
    </xf>
    <xf numFmtId="3" fontId="29" fillId="2" borderId="0" xfId="11" applyNumberFormat="1" applyFont="1" applyFill="1" applyAlignment="1">
      <alignment horizontal="center" vertical="center" wrapText="1"/>
    </xf>
    <xf numFmtId="3" fontId="30" fillId="2" borderId="8" xfId="11" applyNumberFormat="1" applyFont="1" applyFill="1" applyBorder="1" applyAlignment="1">
      <alignment horizontal="right" vertical="center" wrapText="1"/>
    </xf>
    <xf numFmtId="3" fontId="9" fillId="0" borderId="8" xfId="11" applyNumberFormat="1" applyFont="1" applyBorder="1" applyAlignment="1">
      <alignment horizontal="center" vertical="center" wrapText="1"/>
    </xf>
    <xf numFmtId="3" fontId="32" fillId="0" borderId="0" xfId="11" applyNumberFormat="1" applyFont="1" applyAlignment="1">
      <alignment horizontal="center" vertical="center" wrapText="1"/>
    </xf>
    <xf numFmtId="3" fontId="14" fillId="0" borderId="0" xfId="11" applyNumberFormat="1" applyFont="1" applyAlignment="1">
      <alignment horizontal="center" vertical="center" wrapText="1"/>
    </xf>
    <xf numFmtId="3" fontId="21" fillId="0" borderId="1" xfId="11"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3" fontId="3" fillId="0" borderId="1" xfId="11"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xf>
    <xf numFmtId="0" fontId="5" fillId="0" borderId="16" xfId="0" applyFont="1" applyBorder="1" applyAlignment="1">
      <alignment horizontal="center"/>
    </xf>
    <xf numFmtId="0" fontId="5" fillId="0" borderId="9" xfId="0" applyFont="1" applyBorder="1" applyAlignment="1">
      <alignment horizontal="center"/>
    </xf>
    <xf numFmtId="3" fontId="36" fillId="0" borderId="1" xfId="11"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35" fillId="0" borderId="18"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0" xfId="0" applyFont="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2" xfId="0" applyFont="1" applyBorder="1" applyAlignment="1">
      <alignment horizontal="center" vertical="center"/>
    </xf>
    <xf numFmtId="0" fontId="35" fillId="0" borderId="14" xfId="0" applyFont="1" applyBorder="1" applyAlignment="1">
      <alignment horizontal="center" vertical="center"/>
    </xf>
    <xf numFmtId="0" fontId="35" fillId="0" borderId="3" xfId="0" applyFont="1" applyBorder="1" applyAlignment="1">
      <alignment horizontal="center" vertical="center"/>
    </xf>
    <xf numFmtId="0" fontId="35" fillId="0" borderId="18" xfId="0" applyFont="1" applyBorder="1" applyAlignment="1">
      <alignment horizontal="center" vertical="center"/>
    </xf>
    <xf numFmtId="0" fontId="35" fillId="0" borderId="17" xfId="0" applyFont="1" applyBorder="1" applyAlignment="1">
      <alignment horizontal="center" vertical="center"/>
    </xf>
    <xf numFmtId="0" fontId="35" fillId="0" borderId="19" xfId="0" applyFont="1" applyBorder="1" applyAlignment="1">
      <alignment horizontal="center" vertical="center"/>
    </xf>
    <xf numFmtId="0" fontId="35" fillId="0" borderId="22"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35" fillId="0" borderId="1" xfId="0" applyFont="1" applyBorder="1" applyAlignment="1">
      <alignment horizontal="center"/>
    </xf>
    <xf numFmtId="0" fontId="35" fillId="0" borderId="11" xfId="0" applyFont="1" applyBorder="1" applyAlignment="1">
      <alignment horizontal="center"/>
    </xf>
    <xf numFmtId="0" fontId="35" fillId="0" borderId="16" xfId="0" applyFont="1" applyBorder="1" applyAlignment="1">
      <alignment horizontal="center"/>
    </xf>
    <xf numFmtId="0" fontId="35" fillId="0" borderId="9" xfId="0" applyFont="1" applyBorder="1" applyAlignment="1">
      <alignment horizontal="center"/>
    </xf>
    <xf numFmtId="3" fontId="21" fillId="0" borderId="2" xfId="11" applyNumberFormat="1" applyFont="1" applyBorder="1" applyAlignment="1">
      <alignment horizontal="center" vertical="center" wrapText="1"/>
    </xf>
    <xf numFmtId="3" fontId="21" fillId="0" borderId="3" xfId="11" applyNumberFormat="1" applyFont="1" applyBorder="1" applyAlignment="1">
      <alignment horizontal="center" vertical="center" wrapText="1"/>
    </xf>
    <xf numFmtId="3" fontId="21" fillId="0" borderId="11" xfId="11" applyNumberFormat="1" applyFont="1" applyBorder="1" applyAlignment="1">
      <alignment horizontal="center" vertical="center" wrapText="1"/>
    </xf>
    <xf numFmtId="3" fontId="21" fillId="0" borderId="9" xfId="11" applyNumberFormat="1" applyFont="1" applyBorder="1" applyAlignment="1">
      <alignment horizontal="center" vertical="center" wrapText="1"/>
    </xf>
    <xf numFmtId="3" fontId="20" fillId="0" borderId="0" xfId="11" applyNumberFormat="1" applyFont="1" applyAlignment="1">
      <alignment horizontal="right" vertical="center" wrapText="1"/>
    </xf>
    <xf numFmtId="3" fontId="9" fillId="0" borderId="8" xfId="11" applyNumberFormat="1" applyFont="1" applyBorder="1" applyAlignment="1">
      <alignment horizontal="right" vertical="center" wrapText="1"/>
    </xf>
    <xf numFmtId="3" fontId="21" fillId="0" borderId="16" xfId="11" applyNumberFormat="1" applyFont="1" applyBorder="1" applyAlignment="1">
      <alignment horizontal="center" vertical="center" wrapText="1"/>
    </xf>
    <xf numFmtId="3" fontId="21" fillId="0" borderId="17" xfId="11" applyNumberFormat="1" applyFont="1" applyBorder="1" applyAlignment="1">
      <alignment horizontal="center" vertical="center" wrapText="1"/>
    </xf>
    <xf numFmtId="3" fontId="21" fillId="0" borderId="0" xfId="11" applyNumberFormat="1" applyFont="1" applyAlignment="1">
      <alignment horizontal="center" vertical="center" wrapText="1"/>
    </xf>
    <xf numFmtId="3" fontId="21" fillId="0" borderId="8" xfId="11" applyNumberFormat="1" applyFont="1" applyBorder="1" applyAlignment="1">
      <alignment horizontal="center" vertical="center" wrapText="1"/>
    </xf>
  </cellXfs>
  <cellStyles count="13">
    <cellStyle name="Chuẩn 2" xfId="10" xr:uid="{00000000-0005-0000-0000-000003000000}"/>
    <cellStyle name="Comma" xfId="1" builtinId="3"/>
    <cellStyle name="Comma 2" xfId="12" xr:uid="{00000000-0005-0000-0000-000001000000}"/>
    <cellStyle name="Comma 3 2" xfId="8" xr:uid="{00000000-0005-0000-0000-000002000000}"/>
    <cellStyle name="Normal" xfId="0" builtinId="0"/>
    <cellStyle name="Normal 10 2" xfId="7" xr:uid="{00000000-0005-0000-0000-000005000000}"/>
    <cellStyle name="Normal 126 2 2" xfId="2" xr:uid="{00000000-0005-0000-0000-000006000000}"/>
    <cellStyle name="Normal 14" xfId="3" xr:uid="{00000000-0005-0000-0000-000007000000}"/>
    <cellStyle name="Normal 2" xfId="9" xr:uid="{00000000-0005-0000-0000-000008000000}"/>
    <cellStyle name="Normal 2 2 10" xfId="4" xr:uid="{00000000-0005-0000-0000-000009000000}"/>
    <cellStyle name="Normal 3" xfId="5" xr:uid="{00000000-0005-0000-0000-00000A000000}"/>
    <cellStyle name="Normal 3 26" xfId="6" xr:uid="{00000000-0005-0000-0000-00000B000000}"/>
    <cellStyle name="Normal_Bieu mau (CV )" xfId="11" xr:uid="{00000000-0005-0000-0000-00000C000000}"/>
  </cellStyles>
  <dxfs count="111">
    <dxf>
      <font>
        <condense val="0"/>
        <extend val="0"/>
        <color indexed="20"/>
      </font>
      <fill>
        <patternFill>
          <bgColor indexed="45"/>
        </patternFill>
      </fill>
    </dxf>
    <dxf>
      <font>
        <condense val="0"/>
        <extend val="0"/>
        <color indexed="9"/>
      </font>
    </dxf>
    <dxf>
      <font>
        <condense val="0"/>
        <extend val="0"/>
        <color indexed="9"/>
      </font>
      <fill>
        <patternFill>
          <fgColor indexed="64"/>
        </patternFill>
      </fill>
    </dxf>
    <dxf>
      <font>
        <condense val="0"/>
        <extend val="0"/>
        <color indexed="9"/>
      </font>
    </dxf>
    <dxf>
      <font>
        <color auto="1"/>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9"/>
      </font>
      <fill>
        <patternFill>
          <fgColor indexed="64"/>
        </patternFill>
      </fill>
    </dxf>
    <dxf>
      <font>
        <condense val="0"/>
        <extend val="0"/>
        <color indexed="9"/>
      </font>
    </dxf>
    <dxf>
      <font>
        <color auto="1"/>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ndense val="0"/>
        <extend val="0"/>
        <color indexed="9"/>
      </font>
    </dxf>
    <dxf>
      <font>
        <condense val="0"/>
        <extend val="0"/>
        <color indexed="9"/>
      </font>
      <fill>
        <patternFill>
          <fgColor indexed="64"/>
        </patternFill>
      </fill>
    </dxf>
    <dxf>
      <font>
        <condense val="0"/>
        <extend val="0"/>
        <color indexed="9"/>
      </font>
    </dxf>
    <dxf>
      <font>
        <color auto="1"/>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lor theme="0"/>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B59"/>
  <sheetViews>
    <sheetView workbookViewId="0">
      <selection sqref="A1:XFD1048576"/>
    </sheetView>
  </sheetViews>
  <sheetFormatPr defaultRowHeight="18.75" x14ac:dyDescent="0.3"/>
  <cols>
    <col min="1" max="1" width="5.375" customWidth="1"/>
    <col min="2" max="2" width="52.875" customWidth="1"/>
    <col min="3" max="3" width="14.875" customWidth="1"/>
    <col min="4" max="4" width="12.75" customWidth="1"/>
    <col min="5" max="5" width="9" bestFit="1" customWidth="1"/>
    <col min="6" max="6" width="0" hidden="1" customWidth="1"/>
    <col min="7" max="7" width="11.125" style="82" customWidth="1"/>
    <col min="8" max="10" width="9" style="82"/>
    <col min="11" max="11" width="11.875" style="82" customWidth="1"/>
    <col min="12" max="12" width="20.125" customWidth="1"/>
  </cols>
  <sheetData>
    <row r="6" spans="1:11" s="1" customFormat="1" ht="15.75" x14ac:dyDescent="0.25">
      <c r="A6" s="374" t="s">
        <v>0</v>
      </c>
      <c r="B6" s="374" t="s">
        <v>1</v>
      </c>
      <c r="C6" s="374" t="s">
        <v>2</v>
      </c>
      <c r="D6" s="374" t="s">
        <v>3</v>
      </c>
      <c r="E6" s="371" t="s">
        <v>4</v>
      </c>
      <c r="F6" s="373" t="s">
        <v>5</v>
      </c>
      <c r="G6" s="371" t="s">
        <v>6</v>
      </c>
      <c r="H6" s="371" t="s">
        <v>7</v>
      </c>
      <c r="I6" s="371" t="s">
        <v>8</v>
      </c>
      <c r="J6" s="371" t="s">
        <v>9</v>
      </c>
      <c r="K6" s="371" t="s">
        <v>10</v>
      </c>
    </row>
    <row r="7" spans="1:11" s="1" customFormat="1" ht="48" customHeight="1" x14ac:dyDescent="0.25">
      <c r="A7" s="374"/>
      <c r="B7" s="374"/>
      <c r="C7" s="374"/>
      <c r="D7" s="374"/>
      <c r="E7" s="372"/>
      <c r="F7" s="373"/>
      <c r="G7" s="372"/>
      <c r="H7" s="372"/>
      <c r="I7" s="372"/>
      <c r="J7" s="372"/>
      <c r="K7" s="372"/>
    </row>
    <row r="8" spans="1:11" ht="15.75" x14ac:dyDescent="0.25">
      <c r="A8" s="2" t="s">
        <v>11</v>
      </c>
      <c r="B8" s="3" t="s">
        <v>12</v>
      </c>
      <c r="C8" s="4"/>
      <c r="D8" s="4"/>
      <c r="E8" s="4"/>
      <c r="F8" s="4"/>
      <c r="G8" s="4"/>
      <c r="H8" s="4"/>
      <c r="I8" s="4"/>
      <c r="J8" s="4"/>
      <c r="K8" s="4"/>
    </row>
    <row r="9" spans="1:11" ht="15.75" x14ac:dyDescent="0.25">
      <c r="A9" s="2" t="s">
        <v>13</v>
      </c>
      <c r="B9" s="4" t="s">
        <v>14</v>
      </c>
      <c r="C9" s="4"/>
      <c r="D9" s="4"/>
      <c r="E9" s="4"/>
      <c r="F9" s="4"/>
      <c r="G9" s="4"/>
      <c r="H9" s="4"/>
      <c r="I9" s="4"/>
      <c r="J9" s="4"/>
      <c r="K9" s="4"/>
    </row>
    <row r="10" spans="1:11" ht="47.25" x14ac:dyDescent="0.25">
      <c r="A10" s="5">
        <v>1</v>
      </c>
      <c r="B10" s="6" t="s">
        <v>15</v>
      </c>
      <c r="C10" s="7" t="s">
        <v>16</v>
      </c>
      <c r="D10" s="7" t="s">
        <v>17</v>
      </c>
      <c r="E10" s="8">
        <v>5</v>
      </c>
      <c r="F10" s="8">
        <v>1.2700000000000002</v>
      </c>
      <c r="G10" s="8">
        <v>5</v>
      </c>
      <c r="H10" s="8"/>
      <c r="I10" s="8">
        <v>3.2</v>
      </c>
      <c r="J10" s="9">
        <v>0.3</v>
      </c>
      <c r="K10" s="10">
        <f>G10*I10*J10*10</f>
        <v>48</v>
      </c>
    </row>
    <row r="11" spans="1:11" s="16" customFormat="1" ht="15.75" x14ac:dyDescent="0.25">
      <c r="A11" s="11" t="s">
        <v>18</v>
      </c>
      <c r="B11" s="4" t="s">
        <v>19</v>
      </c>
      <c r="C11" s="12"/>
      <c r="D11" s="13"/>
      <c r="E11" s="14"/>
      <c r="F11" s="14"/>
      <c r="G11" s="14"/>
      <c r="H11" s="14"/>
      <c r="I11" s="14"/>
      <c r="J11" s="14"/>
      <c r="K11" s="15">
        <f>SUM(K12:K23)</f>
        <v>1088.3507999999999</v>
      </c>
    </row>
    <row r="12" spans="1:11" ht="31.5" x14ac:dyDescent="0.25">
      <c r="A12" s="5">
        <v>1</v>
      </c>
      <c r="B12" s="17" t="s">
        <v>20</v>
      </c>
      <c r="C12" s="18" t="s">
        <v>21</v>
      </c>
      <c r="D12" s="5" t="s">
        <v>22</v>
      </c>
      <c r="E12" s="19">
        <v>0.44</v>
      </c>
      <c r="F12" s="19">
        <v>0.44</v>
      </c>
      <c r="G12" s="19">
        <f>F12*78%</f>
        <v>0.34320000000000001</v>
      </c>
      <c r="H12" s="19"/>
      <c r="I12" s="19">
        <f>(22+17)/2</f>
        <v>19.5</v>
      </c>
      <c r="J12" s="20">
        <v>1</v>
      </c>
      <c r="K12" s="10">
        <f t="shared" ref="K12:K57" si="0">G12*I12*J12*10</f>
        <v>66.924000000000007</v>
      </c>
    </row>
    <row r="13" spans="1:11" ht="63" x14ac:dyDescent="0.25">
      <c r="A13" s="5">
        <v>2</v>
      </c>
      <c r="B13" s="17" t="s">
        <v>23</v>
      </c>
      <c r="C13" s="18" t="s">
        <v>24</v>
      </c>
      <c r="D13" s="5" t="s">
        <v>25</v>
      </c>
      <c r="E13" s="19">
        <v>9.5</v>
      </c>
      <c r="F13" s="19">
        <v>9.5</v>
      </c>
      <c r="G13" s="19">
        <v>9.5</v>
      </c>
      <c r="H13" s="19"/>
      <c r="I13" s="19">
        <v>5</v>
      </c>
      <c r="J13" s="20">
        <v>0.7</v>
      </c>
      <c r="K13" s="10">
        <f t="shared" si="0"/>
        <v>332.5</v>
      </c>
    </row>
    <row r="14" spans="1:11" ht="31.5" x14ac:dyDescent="0.25">
      <c r="A14" s="5">
        <v>3</v>
      </c>
      <c r="B14" s="17" t="s">
        <v>26</v>
      </c>
      <c r="C14" s="18" t="s">
        <v>27</v>
      </c>
      <c r="D14" s="5" t="s">
        <v>25</v>
      </c>
      <c r="E14" s="19">
        <v>2</v>
      </c>
      <c r="F14" s="19">
        <v>2</v>
      </c>
      <c r="G14" s="19">
        <v>2</v>
      </c>
      <c r="H14" s="19"/>
      <c r="I14" s="19">
        <v>4.43</v>
      </c>
      <c r="J14" s="20">
        <v>0.8</v>
      </c>
      <c r="K14" s="10">
        <f t="shared" si="0"/>
        <v>70.88</v>
      </c>
    </row>
    <row r="15" spans="1:11" ht="15.75" x14ac:dyDescent="0.25">
      <c r="A15" s="5">
        <v>4</v>
      </c>
      <c r="B15" s="21" t="s">
        <v>28</v>
      </c>
      <c r="C15" s="22" t="s">
        <v>29</v>
      </c>
      <c r="D15" s="5" t="s">
        <v>30</v>
      </c>
      <c r="E15" s="19">
        <v>2.59</v>
      </c>
      <c r="F15" s="19">
        <v>2.59</v>
      </c>
      <c r="G15" s="19">
        <v>2.59</v>
      </c>
      <c r="H15" s="19"/>
      <c r="I15" s="19">
        <v>14.4</v>
      </c>
      <c r="J15" s="20">
        <v>0.78</v>
      </c>
      <c r="K15" s="23">
        <f t="shared" si="0"/>
        <v>290.90880000000004</v>
      </c>
    </row>
    <row r="16" spans="1:11" ht="31.5" x14ac:dyDescent="0.25">
      <c r="A16" s="5">
        <v>5</v>
      </c>
      <c r="B16" s="21" t="s">
        <v>31</v>
      </c>
      <c r="C16" s="22" t="s">
        <v>21</v>
      </c>
      <c r="D16" s="5" t="s">
        <v>30</v>
      </c>
      <c r="E16" s="19">
        <v>0.4</v>
      </c>
      <c r="F16" s="19">
        <v>0.4</v>
      </c>
      <c r="G16" s="19">
        <v>0.4</v>
      </c>
      <c r="H16" s="19"/>
      <c r="I16" s="19">
        <v>6.4</v>
      </c>
      <c r="J16" s="20">
        <f>J15</f>
        <v>0.78</v>
      </c>
      <c r="K16" s="10">
        <f t="shared" si="0"/>
        <v>19.968000000000004</v>
      </c>
    </row>
    <row r="17" spans="1:11" s="1" customFormat="1" ht="78.75" x14ac:dyDescent="0.25">
      <c r="A17" s="5">
        <v>7</v>
      </c>
      <c r="B17" s="6" t="s">
        <v>32</v>
      </c>
      <c r="C17" s="7" t="s">
        <v>33</v>
      </c>
      <c r="D17" s="7" t="s">
        <v>34</v>
      </c>
      <c r="E17" s="8">
        <v>53.91</v>
      </c>
      <c r="F17" s="8">
        <v>6</v>
      </c>
      <c r="G17" s="8">
        <v>6</v>
      </c>
      <c r="H17" s="8"/>
      <c r="I17" s="8">
        <v>1</v>
      </c>
      <c r="J17" s="9">
        <v>1</v>
      </c>
      <c r="K17" s="10">
        <f t="shared" si="0"/>
        <v>60</v>
      </c>
    </row>
    <row r="18" spans="1:11" s="1" customFormat="1" ht="63" x14ac:dyDescent="0.25">
      <c r="A18" s="5">
        <v>8</v>
      </c>
      <c r="B18" s="6" t="s">
        <v>35</v>
      </c>
      <c r="C18" s="7" t="s">
        <v>36</v>
      </c>
      <c r="D18" s="7" t="s">
        <v>34</v>
      </c>
      <c r="E18" s="8">
        <v>33.549999999999997</v>
      </c>
      <c r="F18" s="8">
        <v>7.8800000000000008</v>
      </c>
      <c r="G18" s="8">
        <v>7.8800000000000008</v>
      </c>
      <c r="H18" s="8"/>
      <c r="I18" s="8">
        <v>1</v>
      </c>
      <c r="J18" s="9">
        <v>1</v>
      </c>
      <c r="K18" s="10">
        <f t="shared" si="0"/>
        <v>78.800000000000011</v>
      </c>
    </row>
    <row r="19" spans="1:11" s="1" customFormat="1" ht="31.5" x14ac:dyDescent="0.25">
      <c r="A19" s="5">
        <v>9</v>
      </c>
      <c r="B19" s="6" t="s">
        <v>37</v>
      </c>
      <c r="C19" s="7" t="s">
        <v>21</v>
      </c>
      <c r="D19" s="7" t="s">
        <v>25</v>
      </c>
      <c r="E19" s="8">
        <v>6.6999999999999993</v>
      </c>
      <c r="F19" s="8">
        <v>1.64</v>
      </c>
      <c r="G19" s="8">
        <v>1.64</v>
      </c>
      <c r="H19" s="8"/>
      <c r="I19" s="8">
        <v>1</v>
      </c>
      <c r="J19" s="9">
        <v>1</v>
      </c>
      <c r="K19" s="10">
        <f t="shared" si="0"/>
        <v>16.399999999999999</v>
      </c>
    </row>
    <row r="20" spans="1:11" s="1" customFormat="1" ht="31.5" x14ac:dyDescent="0.25">
      <c r="A20" s="5">
        <v>10</v>
      </c>
      <c r="B20" s="6" t="s">
        <v>38</v>
      </c>
      <c r="C20" s="7" t="s">
        <v>29</v>
      </c>
      <c r="D20" s="7" t="s">
        <v>25</v>
      </c>
      <c r="E20" s="8">
        <v>4.9799999999999995</v>
      </c>
      <c r="F20" s="8">
        <v>0.1</v>
      </c>
      <c r="G20" s="8">
        <v>0.1</v>
      </c>
      <c r="H20" s="8"/>
      <c r="I20" s="8">
        <v>3</v>
      </c>
      <c r="J20" s="9">
        <v>1</v>
      </c>
      <c r="K20" s="10">
        <f t="shared" si="0"/>
        <v>3.0000000000000004</v>
      </c>
    </row>
    <row r="21" spans="1:11" s="1" customFormat="1" ht="31.5" x14ac:dyDescent="0.25">
      <c r="A21" s="5">
        <v>11</v>
      </c>
      <c r="B21" s="6" t="s">
        <v>39</v>
      </c>
      <c r="C21" s="7" t="s">
        <v>40</v>
      </c>
      <c r="D21" s="7" t="s">
        <v>25</v>
      </c>
      <c r="E21" s="8">
        <v>5</v>
      </c>
      <c r="F21" s="8"/>
      <c r="G21" s="8">
        <v>3.9000000000000004</v>
      </c>
      <c r="H21" s="8"/>
      <c r="I21" s="8">
        <v>1</v>
      </c>
      <c r="J21" s="9">
        <v>1</v>
      </c>
      <c r="K21" s="10">
        <f t="shared" si="0"/>
        <v>39</v>
      </c>
    </row>
    <row r="22" spans="1:11" s="1" customFormat="1" ht="31.5" x14ac:dyDescent="0.25">
      <c r="A22" s="5">
        <v>12</v>
      </c>
      <c r="B22" s="6" t="s">
        <v>41</v>
      </c>
      <c r="C22" s="7" t="s">
        <v>21</v>
      </c>
      <c r="D22" s="7" t="s">
        <v>25</v>
      </c>
      <c r="E22" s="8" t="s">
        <v>42</v>
      </c>
      <c r="F22" s="8"/>
      <c r="G22" s="8">
        <v>5.18</v>
      </c>
      <c r="H22" s="8"/>
      <c r="I22" s="8">
        <v>0.7</v>
      </c>
      <c r="J22" s="9">
        <v>1</v>
      </c>
      <c r="K22" s="10">
        <f t="shared" si="0"/>
        <v>36.259999999999991</v>
      </c>
    </row>
    <row r="23" spans="1:11" s="27" customFormat="1" ht="31.5" x14ac:dyDescent="0.25">
      <c r="A23" s="5">
        <v>13</v>
      </c>
      <c r="B23" s="24" t="s">
        <v>43</v>
      </c>
      <c r="C23" s="7" t="s">
        <v>44</v>
      </c>
      <c r="D23" s="25" t="s">
        <v>25</v>
      </c>
      <c r="E23" s="26">
        <v>11.7</v>
      </c>
      <c r="F23" s="26"/>
      <c r="G23" s="26">
        <v>8.19</v>
      </c>
      <c r="H23" s="26"/>
      <c r="I23" s="26">
        <v>0.9</v>
      </c>
      <c r="J23" s="22">
        <v>1</v>
      </c>
      <c r="K23" s="10">
        <f t="shared" si="0"/>
        <v>73.709999999999994</v>
      </c>
    </row>
    <row r="24" spans="1:11" s="33" customFormat="1" ht="15.75" x14ac:dyDescent="0.25">
      <c r="A24" s="28" t="s">
        <v>45</v>
      </c>
      <c r="B24" s="29" t="s">
        <v>46</v>
      </c>
      <c r="C24" s="30"/>
      <c r="D24" s="28"/>
      <c r="E24" s="31"/>
      <c r="F24" s="31"/>
      <c r="G24" s="31"/>
      <c r="H24" s="31"/>
      <c r="I24" s="31"/>
      <c r="J24" s="32"/>
      <c r="K24" s="10">
        <f t="shared" si="0"/>
        <v>0</v>
      </c>
    </row>
    <row r="25" spans="1:11" ht="15.75" x14ac:dyDescent="0.25">
      <c r="A25" s="34" t="s">
        <v>13</v>
      </c>
      <c r="B25" s="4" t="s">
        <v>14</v>
      </c>
      <c r="C25" s="7"/>
      <c r="D25" s="4"/>
      <c r="E25" s="4"/>
      <c r="F25" s="4"/>
      <c r="G25" s="4"/>
      <c r="H25" s="4"/>
      <c r="I25" s="4"/>
      <c r="J25" s="34"/>
      <c r="K25" s="10">
        <f t="shared" si="0"/>
        <v>0</v>
      </c>
    </row>
    <row r="26" spans="1:11" s="41" customFormat="1" ht="31.5" x14ac:dyDescent="0.25">
      <c r="A26" s="35" t="s">
        <v>47</v>
      </c>
      <c r="B26" s="36" t="s">
        <v>48</v>
      </c>
      <c r="C26" s="7" t="s">
        <v>49</v>
      </c>
      <c r="D26" s="37" t="s">
        <v>50</v>
      </c>
      <c r="E26" s="38"/>
      <c r="F26" s="39">
        <v>1.7396</v>
      </c>
      <c r="G26" s="39">
        <v>1.7396</v>
      </c>
      <c r="H26" s="39"/>
      <c r="I26" s="40">
        <v>0.25</v>
      </c>
      <c r="J26" s="39">
        <v>1</v>
      </c>
      <c r="K26" s="10">
        <f t="shared" si="0"/>
        <v>4.3490000000000002</v>
      </c>
    </row>
    <row r="27" spans="1:11" s="41" customFormat="1" ht="31.5" x14ac:dyDescent="0.25">
      <c r="A27" s="35" t="s">
        <v>51</v>
      </c>
      <c r="B27" s="42" t="s">
        <v>52</v>
      </c>
      <c r="C27" s="7" t="s">
        <v>53</v>
      </c>
      <c r="D27" s="37" t="s">
        <v>50</v>
      </c>
      <c r="E27" s="39"/>
      <c r="F27" s="39">
        <v>7.0999999999999994E-2</v>
      </c>
      <c r="G27" s="39">
        <v>7.0999999999999994E-2</v>
      </c>
      <c r="H27" s="39"/>
      <c r="I27" s="40">
        <v>0.25</v>
      </c>
      <c r="J27" s="39">
        <v>1</v>
      </c>
      <c r="K27" s="10">
        <f t="shared" si="0"/>
        <v>0.17749999999999999</v>
      </c>
    </row>
    <row r="28" spans="1:11" s="16" customFormat="1" ht="15.75" x14ac:dyDescent="0.25">
      <c r="A28" s="11" t="s">
        <v>18</v>
      </c>
      <c r="B28" s="4" t="s">
        <v>19</v>
      </c>
      <c r="C28" s="7"/>
      <c r="D28" s="13"/>
      <c r="E28" s="14"/>
      <c r="F28" s="14"/>
      <c r="G28" s="14"/>
      <c r="H28" s="14"/>
      <c r="I28" s="43"/>
      <c r="J28" s="14"/>
      <c r="K28" s="44">
        <f>SUM(K29:K31)</f>
        <v>102.85</v>
      </c>
    </row>
    <row r="29" spans="1:11" s="51" customFormat="1" ht="15.75" x14ac:dyDescent="0.25">
      <c r="A29" s="45" t="s">
        <v>47</v>
      </c>
      <c r="B29" s="46" t="s">
        <v>54</v>
      </c>
      <c r="C29" s="7" t="s">
        <v>55</v>
      </c>
      <c r="D29" s="47" t="s">
        <v>25</v>
      </c>
      <c r="E29" s="48">
        <v>0.2</v>
      </c>
      <c r="F29" s="49">
        <v>2.5700000000000003</v>
      </c>
      <c r="G29" s="49">
        <v>2.5700000000000003</v>
      </c>
      <c r="H29" s="49"/>
      <c r="I29" s="49">
        <v>0.5</v>
      </c>
      <c r="J29" s="50">
        <v>1</v>
      </c>
      <c r="K29" s="10">
        <f t="shared" si="0"/>
        <v>12.850000000000001</v>
      </c>
    </row>
    <row r="30" spans="1:11" s="51" customFormat="1" ht="31.5" x14ac:dyDescent="0.25">
      <c r="A30" s="45" t="s">
        <v>51</v>
      </c>
      <c r="B30" s="52" t="s">
        <v>56</v>
      </c>
      <c r="C30" s="7" t="s">
        <v>55</v>
      </c>
      <c r="D30" s="53" t="s">
        <v>25</v>
      </c>
      <c r="E30" s="50"/>
      <c r="F30" s="49">
        <v>8</v>
      </c>
      <c r="G30" s="49">
        <v>8</v>
      </c>
      <c r="H30" s="49"/>
      <c r="I30" s="49">
        <v>0.5</v>
      </c>
      <c r="J30" s="50">
        <v>1</v>
      </c>
      <c r="K30" s="10">
        <f t="shared" si="0"/>
        <v>40</v>
      </c>
    </row>
    <row r="31" spans="1:11" s="41" customFormat="1" ht="15.75" x14ac:dyDescent="0.25">
      <c r="A31" s="35" t="s">
        <v>57</v>
      </c>
      <c r="B31" s="54" t="s">
        <v>58</v>
      </c>
      <c r="C31" s="7" t="s">
        <v>55</v>
      </c>
      <c r="D31" s="55" t="s">
        <v>25</v>
      </c>
      <c r="E31" s="39"/>
      <c r="F31" s="40">
        <v>10</v>
      </c>
      <c r="G31" s="40">
        <v>10</v>
      </c>
      <c r="H31" s="40"/>
      <c r="I31" s="40">
        <v>0.5</v>
      </c>
      <c r="J31" s="39">
        <v>1</v>
      </c>
      <c r="K31" s="10">
        <f t="shared" si="0"/>
        <v>50</v>
      </c>
    </row>
    <row r="32" spans="1:11" s="33" customFormat="1" ht="15.75" x14ac:dyDescent="0.25">
      <c r="A32" s="2" t="s">
        <v>59</v>
      </c>
      <c r="B32" s="3" t="s">
        <v>60</v>
      </c>
      <c r="C32" s="30"/>
      <c r="D32" s="3"/>
      <c r="E32" s="3"/>
      <c r="F32" s="3"/>
      <c r="G32" s="3"/>
      <c r="H32" s="3"/>
      <c r="I32" s="56"/>
      <c r="J32" s="3"/>
      <c r="K32" s="10">
        <f t="shared" si="0"/>
        <v>0</v>
      </c>
    </row>
    <row r="33" spans="1:11" ht="15.75" x14ac:dyDescent="0.25">
      <c r="A33" s="34" t="s">
        <v>13</v>
      </c>
      <c r="B33" s="4" t="s">
        <v>14</v>
      </c>
      <c r="C33" s="7"/>
      <c r="D33" s="4"/>
      <c r="E33" s="4"/>
      <c r="F33" s="4"/>
      <c r="G33" s="4"/>
      <c r="H33" s="4"/>
      <c r="I33" s="57"/>
      <c r="J33" s="4"/>
      <c r="K33" s="10">
        <f t="shared" si="0"/>
        <v>0</v>
      </c>
    </row>
    <row r="34" spans="1:11" s="16" customFormat="1" ht="15.75" x14ac:dyDescent="0.25">
      <c r="A34" s="11">
        <v>1</v>
      </c>
      <c r="B34" s="58" t="s">
        <v>61</v>
      </c>
      <c r="C34" s="7"/>
      <c r="D34" s="13" t="s">
        <v>50</v>
      </c>
      <c r="E34" s="14">
        <v>2</v>
      </c>
      <c r="F34" s="14"/>
      <c r="G34" s="14">
        <v>2</v>
      </c>
      <c r="H34" s="14"/>
      <c r="I34" s="43">
        <v>1</v>
      </c>
      <c r="J34" s="14">
        <v>1</v>
      </c>
      <c r="K34" s="10">
        <f t="shared" si="0"/>
        <v>20</v>
      </c>
    </row>
    <row r="35" spans="1:11" s="16" customFormat="1" ht="31.5" x14ac:dyDescent="0.25">
      <c r="A35" s="11">
        <v>2</v>
      </c>
      <c r="B35" s="59" t="s">
        <v>62</v>
      </c>
      <c r="C35" s="7" t="s">
        <v>63</v>
      </c>
      <c r="D35" s="13" t="s">
        <v>25</v>
      </c>
      <c r="E35" s="14">
        <v>6.5</v>
      </c>
      <c r="F35" s="14"/>
      <c r="G35" s="14">
        <v>6.5</v>
      </c>
      <c r="H35" s="14"/>
      <c r="I35" s="43">
        <v>3.2</v>
      </c>
      <c r="J35" s="14">
        <v>1</v>
      </c>
      <c r="K35" s="10">
        <f t="shared" si="0"/>
        <v>208</v>
      </c>
    </row>
    <row r="36" spans="1:11" s="60" customFormat="1" ht="31.5" x14ac:dyDescent="0.25">
      <c r="A36" s="11">
        <v>4</v>
      </c>
      <c r="B36" s="58" t="s">
        <v>64</v>
      </c>
      <c r="C36" s="7" t="s">
        <v>63</v>
      </c>
      <c r="D36" s="13" t="s">
        <v>25</v>
      </c>
      <c r="E36" s="14">
        <v>1</v>
      </c>
      <c r="F36" s="14"/>
      <c r="G36" s="14">
        <v>1</v>
      </c>
      <c r="H36" s="14"/>
      <c r="I36" s="43">
        <v>3.2</v>
      </c>
      <c r="J36" s="14">
        <v>1</v>
      </c>
      <c r="K36" s="10">
        <f t="shared" si="0"/>
        <v>32</v>
      </c>
    </row>
    <row r="37" spans="1:11" s="16" customFormat="1" ht="15.75" x14ac:dyDescent="0.25">
      <c r="A37" s="11" t="s">
        <v>18</v>
      </c>
      <c r="B37" s="4" t="s">
        <v>19</v>
      </c>
      <c r="C37" s="7"/>
      <c r="D37" s="13"/>
      <c r="E37" s="14"/>
      <c r="F37" s="14"/>
      <c r="G37" s="14"/>
      <c r="H37" s="14"/>
      <c r="I37" s="43"/>
      <c r="J37" s="14"/>
      <c r="K37" s="44">
        <f>SUM(K38:K49)</f>
        <v>761.55</v>
      </c>
    </row>
    <row r="38" spans="1:11" s="16" customFormat="1" ht="30" x14ac:dyDescent="0.25">
      <c r="A38" s="11">
        <v>1</v>
      </c>
      <c r="B38" s="58" t="s">
        <v>65</v>
      </c>
      <c r="C38" s="61" t="s">
        <v>66</v>
      </c>
      <c r="D38" s="13" t="s">
        <v>50</v>
      </c>
      <c r="E38" s="62">
        <v>3</v>
      </c>
      <c r="F38" s="14"/>
      <c r="G38" s="14">
        <v>3</v>
      </c>
      <c r="H38" s="14"/>
      <c r="I38" s="43">
        <v>0.2</v>
      </c>
      <c r="J38" s="14">
        <v>1</v>
      </c>
      <c r="K38" s="10">
        <f t="shared" si="0"/>
        <v>6.0000000000000009</v>
      </c>
    </row>
    <row r="39" spans="1:11" s="16" customFormat="1" ht="15.75" x14ac:dyDescent="0.25">
      <c r="A39" s="11">
        <v>2</v>
      </c>
      <c r="B39" s="58" t="s">
        <v>67</v>
      </c>
      <c r="C39" s="7"/>
      <c r="D39" s="13" t="s">
        <v>50</v>
      </c>
      <c r="E39" s="62">
        <v>3</v>
      </c>
      <c r="F39" s="14"/>
      <c r="G39" s="14">
        <v>3</v>
      </c>
      <c r="H39" s="14"/>
      <c r="I39" s="43">
        <v>0.2</v>
      </c>
      <c r="J39" s="14">
        <v>1</v>
      </c>
      <c r="K39" s="10">
        <f t="shared" si="0"/>
        <v>6.0000000000000009</v>
      </c>
    </row>
    <row r="40" spans="1:11" s="16" customFormat="1" ht="15.75" x14ac:dyDescent="0.25">
      <c r="A40" s="11">
        <v>3</v>
      </c>
      <c r="B40" s="58" t="s">
        <v>68</v>
      </c>
      <c r="C40" s="7" t="s">
        <v>63</v>
      </c>
      <c r="D40" s="63"/>
      <c r="E40" s="62">
        <v>15</v>
      </c>
      <c r="F40" s="14"/>
      <c r="G40" s="14">
        <v>15</v>
      </c>
      <c r="H40" s="14"/>
      <c r="I40" s="43">
        <v>0.7</v>
      </c>
      <c r="J40" s="14">
        <v>1</v>
      </c>
      <c r="K40" s="10">
        <f t="shared" si="0"/>
        <v>105</v>
      </c>
    </row>
    <row r="41" spans="1:11" s="16" customFormat="1" ht="15.75" x14ac:dyDescent="0.25">
      <c r="A41" s="11">
        <v>4</v>
      </c>
      <c r="B41" s="58" t="s">
        <v>69</v>
      </c>
      <c r="C41" s="7" t="s">
        <v>63</v>
      </c>
      <c r="D41" s="63"/>
      <c r="E41" s="62">
        <v>7.65</v>
      </c>
      <c r="F41" s="14"/>
      <c r="G41" s="14">
        <v>7.65</v>
      </c>
      <c r="H41" s="14"/>
      <c r="I41" s="43">
        <v>0.7</v>
      </c>
      <c r="J41" s="14">
        <v>1</v>
      </c>
      <c r="K41" s="10">
        <f t="shared" si="0"/>
        <v>53.55</v>
      </c>
    </row>
    <row r="42" spans="1:11" s="16" customFormat="1" ht="15.75" x14ac:dyDescent="0.25">
      <c r="A42" s="11">
        <v>5</v>
      </c>
      <c r="B42" s="58" t="s">
        <v>70</v>
      </c>
      <c r="C42" s="7" t="s">
        <v>63</v>
      </c>
      <c r="D42" s="63"/>
      <c r="E42" s="62">
        <v>10</v>
      </c>
      <c r="F42" s="14"/>
      <c r="G42" s="14">
        <v>10</v>
      </c>
      <c r="H42" s="14"/>
      <c r="I42" s="43">
        <v>0.7</v>
      </c>
      <c r="J42" s="14">
        <v>1</v>
      </c>
      <c r="K42" s="10">
        <f t="shared" si="0"/>
        <v>70</v>
      </c>
    </row>
    <row r="43" spans="1:11" s="16" customFormat="1" ht="31.5" x14ac:dyDescent="0.25">
      <c r="A43" s="11">
        <v>6</v>
      </c>
      <c r="B43" s="58" t="s">
        <v>71</v>
      </c>
      <c r="C43" s="7" t="s">
        <v>72</v>
      </c>
      <c r="D43" s="63"/>
      <c r="E43" s="62">
        <v>28.799999999999997</v>
      </c>
      <c r="F43" s="14"/>
      <c r="G43" s="14">
        <v>28.799999999999997</v>
      </c>
      <c r="H43" s="14"/>
      <c r="I43" s="43">
        <v>0.5</v>
      </c>
      <c r="J43" s="14">
        <v>1</v>
      </c>
      <c r="K43" s="10">
        <f t="shared" si="0"/>
        <v>144</v>
      </c>
    </row>
    <row r="44" spans="1:11" s="16" customFormat="1" ht="31.5" x14ac:dyDescent="0.25">
      <c r="A44" s="11">
        <v>7</v>
      </c>
      <c r="B44" s="58" t="s">
        <v>73</v>
      </c>
      <c r="C44" s="7" t="s">
        <v>72</v>
      </c>
      <c r="D44" s="63"/>
      <c r="E44" s="62">
        <v>22.5</v>
      </c>
      <c r="F44" s="14"/>
      <c r="G44" s="14">
        <v>22.5</v>
      </c>
      <c r="H44" s="14"/>
      <c r="I44" s="43">
        <v>0.2</v>
      </c>
      <c r="J44" s="14">
        <v>1</v>
      </c>
      <c r="K44" s="10">
        <f t="shared" si="0"/>
        <v>45</v>
      </c>
    </row>
    <row r="45" spans="1:11" s="16" customFormat="1" ht="31.5" x14ac:dyDescent="0.25">
      <c r="A45" s="11">
        <v>8</v>
      </c>
      <c r="B45" s="58" t="s">
        <v>74</v>
      </c>
      <c r="C45" s="7" t="s">
        <v>75</v>
      </c>
      <c r="D45" s="63"/>
      <c r="E45" s="62">
        <v>45</v>
      </c>
      <c r="F45" s="14"/>
      <c r="G45" s="14">
        <v>45</v>
      </c>
      <c r="H45" s="14"/>
      <c r="I45" s="43">
        <v>0.2</v>
      </c>
      <c r="J45" s="14">
        <v>1</v>
      </c>
      <c r="K45" s="10">
        <f t="shared" si="0"/>
        <v>90</v>
      </c>
    </row>
    <row r="46" spans="1:11" s="16" customFormat="1" ht="31.5" x14ac:dyDescent="0.25">
      <c r="A46" s="11">
        <v>9</v>
      </c>
      <c r="B46" s="58" t="s">
        <v>76</v>
      </c>
      <c r="C46" s="7" t="s">
        <v>72</v>
      </c>
      <c r="D46" s="63"/>
      <c r="E46" s="62">
        <v>6</v>
      </c>
      <c r="F46" s="14"/>
      <c r="G46" s="14">
        <v>6</v>
      </c>
      <c r="H46" s="14"/>
      <c r="I46" s="43">
        <v>0.2</v>
      </c>
      <c r="J46" s="14">
        <v>1</v>
      </c>
      <c r="K46" s="10">
        <f t="shared" si="0"/>
        <v>12.000000000000002</v>
      </c>
    </row>
    <row r="47" spans="1:11" s="16" customFormat="1" ht="31.5" x14ac:dyDescent="0.25">
      <c r="A47" s="11">
        <v>10</v>
      </c>
      <c r="B47" s="58" t="s">
        <v>77</v>
      </c>
      <c r="C47" s="7" t="s">
        <v>78</v>
      </c>
      <c r="D47" s="63"/>
      <c r="E47" s="62">
        <v>60</v>
      </c>
      <c r="F47" s="14"/>
      <c r="G47" s="14">
        <v>60</v>
      </c>
      <c r="H47" s="14"/>
      <c r="I47" s="43">
        <v>0.2</v>
      </c>
      <c r="J47" s="14">
        <v>1</v>
      </c>
      <c r="K47" s="10">
        <f t="shared" si="0"/>
        <v>120</v>
      </c>
    </row>
    <row r="48" spans="1:11" s="16" customFormat="1" ht="31.5" x14ac:dyDescent="0.25">
      <c r="A48" s="11">
        <v>11</v>
      </c>
      <c r="B48" s="58" t="s">
        <v>79</v>
      </c>
      <c r="C48" s="7" t="s">
        <v>75</v>
      </c>
      <c r="D48" s="63"/>
      <c r="E48" s="62">
        <v>45</v>
      </c>
      <c r="F48" s="14"/>
      <c r="G48" s="14">
        <v>45</v>
      </c>
      <c r="H48" s="14"/>
      <c r="I48" s="43">
        <v>0.2</v>
      </c>
      <c r="J48" s="14">
        <v>1</v>
      </c>
      <c r="K48" s="10">
        <f t="shared" si="0"/>
        <v>90</v>
      </c>
    </row>
    <row r="49" spans="1:28" s="16" customFormat="1" ht="31.5" x14ac:dyDescent="0.25">
      <c r="A49" s="11">
        <v>12</v>
      </c>
      <c r="B49" s="58" t="s">
        <v>80</v>
      </c>
      <c r="C49" s="7" t="s">
        <v>81</v>
      </c>
      <c r="D49" s="63"/>
      <c r="E49" s="62">
        <f>100*10%</f>
        <v>10</v>
      </c>
      <c r="F49" s="14"/>
      <c r="G49" s="14">
        <v>10</v>
      </c>
      <c r="H49" s="14"/>
      <c r="I49" s="43">
        <v>0.2</v>
      </c>
      <c r="J49" s="14">
        <v>1</v>
      </c>
      <c r="K49" s="10">
        <f t="shared" si="0"/>
        <v>20</v>
      </c>
    </row>
    <row r="50" spans="1:28" s="33" customFormat="1" ht="15.75" x14ac:dyDescent="0.25">
      <c r="A50" s="2" t="s">
        <v>82</v>
      </c>
      <c r="B50" s="3" t="s">
        <v>83</v>
      </c>
      <c r="C50" s="30"/>
      <c r="D50" s="3"/>
      <c r="E50" s="3"/>
      <c r="F50" s="3"/>
      <c r="G50" s="3"/>
      <c r="H50" s="3"/>
      <c r="I50" s="56"/>
      <c r="J50" s="3"/>
      <c r="K50" s="10">
        <f t="shared" si="0"/>
        <v>0</v>
      </c>
    </row>
    <row r="51" spans="1:28" ht="15.75" x14ac:dyDescent="0.25">
      <c r="A51" s="34" t="s">
        <v>13</v>
      </c>
      <c r="B51" s="4" t="s">
        <v>14</v>
      </c>
      <c r="C51" s="7"/>
      <c r="D51" s="4"/>
      <c r="E51" s="4"/>
      <c r="F51" s="4"/>
      <c r="G51" s="4"/>
      <c r="H51" s="4"/>
      <c r="I51" s="57"/>
      <c r="J51" s="4"/>
      <c r="K51" s="10">
        <f t="shared" si="0"/>
        <v>0</v>
      </c>
    </row>
    <row r="52" spans="1:28" s="71" customFormat="1" ht="31.5" x14ac:dyDescent="0.25">
      <c r="A52" s="64"/>
      <c r="B52" s="65" t="s">
        <v>84</v>
      </c>
      <c r="C52" s="7"/>
      <c r="D52" s="64" t="s">
        <v>50</v>
      </c>
      <c r="E52" s="66">
        <v>1.32</v>
      </c>
      <c r="F52" s="66"/>
      <c r="G52" s="66">
        <v>1.32</v>
      </c>
      <c r="H52" s="66"/>
      <c r="I52" s="67">
        <v>0.11</v>
      </c>
      <c r="J52" s="66">
        <v>1</v>
      </c>
      <c r="K52" s="10">
        <f t="shared" si="0"/>
        <v>1.452</v>
      </c>
      <c r="L52" s="68"/>
      <c r="M52" s="69"/>
      <c r="N52" s="69"/>
      <c r="O52" s="69"/>
      <c r="P52" s="69"/>
      <c r="Q52" s="69"/>
      <c r="R52" s="69"/>
      <c r="S52" s="69"/>
      <c r="T52" s="69"/>
      <c r="U52" s="69"/>
      <c r="V52" s="69"/>
      <c r="W52" s="69"/>
      <c r="X52" s="69"/>
      <c r="Y52" s="69" t="s">
        <v>85</v>
      </c>
      <c r="Z52" s="70">
        <v>2021</v>
      </c>
      <c r="AA52" s="69" t="s">
        <v>86</v>
      </c>
    </row>
    <row r="53" spans="1:28" s="71" customFormat="1" ht="31.5" x14ac:dyDescent="0.25">
      <c r="A53" s="64"/>
      <c r="B53" s="72" t="s">
        <v>87</v>
      </c>
      <c r="C53" s="7"/>
      <c r="D53" s="64" t="s">
        <v>50</v>
      </c>
      <c r="E53" s="66">
        <v>3</v>
      </c>
      <c r="F53" s="66"/>
      <c r="G53" s="66">
        <v>3</v>
      </c>
      <c r="H53" s="66"/>
      <c r="I53" s="67">
        <v>0.11</v>
      </c>
      <c r="J53" s="66">
        <v>1</v>
      </c>
      <c r="K53" s="10">
        <f t="shared" si="0"/>
        <v>3.3000000000000003</v>
      </c>
      <c r="L53" s="68"/>
      <c r="M53" s="69"/>
      <c r="N53" s="69"/>
      <c r="O53" s="69"/>
      <c r="P53" s="69"/>
      <c r="Q53" s="69"/>
      <c r="R53" s="69"/>
      <c r="S53" s="69"/>
      <c r="T53" s="69"/>
      <c r="U53" s="69"/>
      <c r="V53" s="69"/>
      <c r="W53" s="69">
        <v>0.12</v>
      </c>
      <c r="X53" s="69"/>
      <c r="Y53" s="69" t="s">
        <v>85</v>
      </c>
      <c r="Z53" s="70" t="s">
        <v>88</v>
      </c>
      <c r="AA53" s="69" t="s">
        <v>89</v>
      </c>
    </row>
    <row r="54" spans="1:28" s="16" customFormat="1" ht="20.100000000000001" customHeight="1" x14ac:dyDescent="0.25">
      <c r="A54" s="11" t="s">
        <v>18</v>
      </c>
      <c r="B54" s="4" t="s">
        <v>19</v>
      </c>
      <c r="C54" s="7"/>
      <c r="D54" s="13"/>
      <c r="E54" s="14"/>
      <c r="F54" s="14"/>
      <c r="G54" s="14"/>
      <c r="H54" s="14"/>
      <c r="I54" s="43"/>
      <c r="J54" s="14"/>
      <c r="K54" s="44">
        <f>SUM(K55:K57)</f>
        <v>41.82</v>
      </c>
    </row>
    <row r="55" spans="1:28" s="76" customFormat="1" ht="30" customHeight="1" x14ac:dyDescent="0.25">
      <c r="A55" s="73"/>
      <c r="B55" s="74" t="s">
        <v>90</v>
      </c>
      <c r="C55" s="7"/>
      <c r="D55" s="64" t="s">
        <v>50</v>
      </c>
      <c r="E55" s="66">
        <v>3.7</v>
      </c>
      <c r="F55" s="66"/>
      <c r="G55" s="66">
        <v>3.7</v>
      </c>
      <c r="H55" s="66"/>
      <c r="I55" s="67">
        <v>0.5</v>
      </c>
      <c r="J55" s="66">
        <v>1</v>
      </c>
      <c r="K55" s="10">
        <f t="shared" si="0"/>
        <v>18.5</v>
      </c>
      <c r="L55" s="68"/>
      <c r="M55" s="69"/>
      <c r="N55" s="69"/>
      <c r="O55" s="69"/>
      <c r="P55" s="69"/>
      <c r="Q55" s="69"/>
      <c r="R55" s="69"/>
      <c r="S55" s="69"/>
      <c r="T55" s="69"/>
      <c r="U55" s="69"/>
      <c r="V55" s="69"/>
      <c r="W55" s="69"/>
      <c r="X55" s="69"/>
      <c r="Y55" s="69" t="s">
        <v>91</v>
      </c>
      <c r="Z55" s="70">
        <v>2021</v>
      </c>
      <c r="AA55" s="69" t="s">
        <v>86</v>
      </c>
      <c r="AB55" s="75"/>
    </row>
    <row r="56" spans="1:28" s="76" customFormat="1" ht="30" customHeight="1" x14ac:dyDescent="0.25">
      <c r="A56" s="73"/>
      <c r="B56" s="77" t="s">
        <v>92</v>
      </c>
      <c r="C56" s="7"/>
      <c r="D56" s="64" t="s">
        <v>50</v>
      </c>
      <c r="E56" s="66">
        <v>11.16</v>
      </c>
      <c r="F56" s="66"/>
      <c r="G56" s="66">
        <v>11.16</v>
      </c>
      <c r="H56" s="66"/>
      <c r="I56" s="67">
        <v>0.2</v>
      </c>
      <c r="J56" s="66">
        <v>1</v>
      </c>
      <c r="K56" s="10">
        <f t="shared" si="0"/>
        <v>22.32</v>
      </c>
      <c r="L56" s="68"/>
      <c r="M56" s="69"/>
      <c r="N56" s="69"/>
      <c r="O56" s="69"/>
      <c r="P56" s="69"/>
      <c r="Q56" s="69"/>
      <c r="R56" s="69"/>
      <c r="S56" s="69"/>
      <c r="T56" s="69"/>
      <c r="U56" s="69"/>
      <c r="V56" s="69"/>
      <c r="W56" s="69"/>
      <c r="X56" s="69"/>
      <c r="Y56" s="69" t="s">
        <v>91</v>
      </c>
      <c r="Z56" s="70">
        <v>2021</v>
      </c>
      <c r="AA56" s="69" t="s">
        <v>89</v>
      </c>
      <c r="AB56" s="75"/>
    </row>
    <row r="57" spans="1:28" s="76" customFormat="1" ht="21.95" customHeight="1" x14ac:dyDescent="0.25">
      <c r="A57" s="73"/>
      <c r="B57" s="78" t="s">
        <v>93</v>
      </c>
      <c r="C57" s="7"/>
      <c r="D57" s="64" t="s">
        <v>50</v>
      </c>
      <c r="E57" s="66">
        <v>1</v>
      </c>
      <c r="F57" s="66"/>
      <c r="G57" s="66">
        <v>1</v>
      </c>
      <c r="H57" s="66"/>
      <c r="I57" s="67">
        <v>0.1</v>
      </c>
      <c r="J57" s="66">
        <v>1</v>
      </c>
      <c r="K57" s="10">
        <f t="shared" si="0"/>
        <v>1</v>
      </c>
      <c r="L57" s="79"/>
      <c r="M57" s="80"/>
      <c r="N57" s="80"/>
      <c r="O57" s="80"/>
      <c r="P57" s="80"/>
      <c r="Q57" s="80"/>
      <c r="R57" s="80"/>
      <c r="S57" s="80"/>
      <c r="T57" s="80"/>
      <c r="U57" s="80"/>
      <c r="V57" s="80"/>
      <c r="W57" s="80"/>
      <c r="X57" s="80"/>
      <c r="Y57" s="80" t="s">
        <v>94</v>
      </c>
      <c r="Z57" s="81">
        <v>2021</v>
      </c>
      <c r="AA57" s="80" t="s">
        <v>89</v>
      </c>
      <c r="AB57" s="75"/>
    </row>
    <row r="59" spans="1:28" x14ac:dyDescent="0.3">
      <c r="B59" t="s">
        <v>95</v>
      </c>
    </row>
  </sheetData>
  <mergeCells count="11">
    <mergeCell ref="F6:F7"/>
    <mergeCell ref="A6:A7"/>
    <mergeCell ref="B6:B7"/>
    <mergeCell ref="C6:C7"/>
    <mergeCell ref="D6:D7"/>
    <mergeCell ref="E6:E7"/>
    <mergeCell ref="G6:G7"/>
    <mergeCell ref="H6:H7"/>
    <mergeCell ref="I6:I7"/>
    <mergeCell ref="J6:J7"/>
    <mergeCell ref="K6:K7"/>
  </mergeCells>
  <conditionalFormatting sqref="B29:B31">
    <cfRule type="expression" dxfId="110" priority="110" stopIfTrue="1">
      <formula>AND(COUNTIF($S:$S, B29)&gt;1,NOT(ISBLANK(B29)))</formula>
    </cfRule>
  </conditionalFormatting>
  <conditionalFormatting sqref="B35">
    <cfRule type="expression" dxfId="109" priority="109" stopIfTrue="1">
      <formula>AND(COUNTIF($B:$B, B35)&gt;1,NOT(ISBLANK(B35)))</formula>
    </cfRule>
  </conditionalFormatting>
  <conditionalFormatting sqref="B35:B36">
    <cfRule type="cellIs" dxfId="108" priority="106" stopIfTrue="1" operator="equal">
      <formula>0</formula>
    </cfRule>
    <cfRule type="cellIs" dxfId="107" priority="107" stopIfTrue="1" operator="equal">
      <formula>0</formula>
    </cfRule>
    <cfRule type="cellIs" dxfId="106" priority="108" stopIfTrue="1" operator="equal">
      <formula>0</formula>
    </cfRule>
  </conditionalFormatting>
  <conditionalFormatting sqref="D35:D37">
    <cfRule type="cellIs" dxfId="105" priority="103" stopIfTrue="1" operator="equal">
      <formula>0</formula>
    </cfRule>
    <cfRule type="cellIs" dxfId="104" priority="104" stopIfTrue="1" operator="equal">
      <formula>0</formula>
    </cfRule>
    <cfRule type="cellIs" dxfId="103" priority="105" stopIfTrue="1" operator="equal">
      <formula>0</formula>
    </cfRule>
  </conditionalFormatting>
  <conditionalFormatting sqref="D35:D37">
    <cfRule type="cellIs" dxfId="102" priority="99" stopIfTrue="1" operator="between">
      <formula>-0.0001</formula>
      <formula>0.0001</formula>
    </cfRule>
    <cfRule type="cellIs" dxfId="101" priority="100" stopIfTrue="1" operator="equal">
      <formula>0</formula>
    </cfRule>
    <cfRule type="cellIs" dxfId="100" priority="101" stopIfTrue="1" operator="equal">
      <formula>0</formula>
    </cfRule>
    <cfRule type="cellIs" dxfId="99" priority="102" stopIfTrue="1" operator="equal">
      <formula>0</formula>
    </cfRule>
  </conditionalFormatting>
  <conditionalFormatting sqref="D35:D37">
    <cfRule type="cellIs" dxfId="98" priority="94" stopIfTrue="1" operator="between">
      <formula>-0.0001</formula>
      <formula>0.0001</formula>
    </cfRule>
    <cfRule type="cellIs" dxfId="97" priority="95" stopIfTrue="1" operator="between">
      <formula>-0.0001</formula>
      <formula>0.00001</formula>
    </cfRule>
    <cfRule type="cellIs" dxfId="96" priority="96" stopIfTrue="1" operator="equal">
      <formula>0</formula>
    </cfRule>
    <cfRule type="cellIs" dxfId="95" priority="97" stopIfTrue="1" operator="equal">
      <formula>0</formula>
    </cfRule>
    <cfRule type="cellIs" dxfId="94" priority="98" stopIfTrue="1" operator="equal">
      <formula>0</formula>
    </cfRule>
  </conditionalFormatting>
  <conditionalFormatting sqref="D35:D37">
    <cfRule type="cellIs" dxfId="93" priority="90" stopIfTrue="1" operator="between">
      <formula>-0.0001</formula>
      <formula>0.00001</formula>
    </cfRule>
    <cfRule type="cellIs" dxfId="92" priority="91" stopIfTrue="1" operator="equal">
      <formula>0</formula>
    </cfRule>
    <cfRule type="cellIs" dxfId="91" priority="92" stopIfTrue="1" operator="equal">
      <formula>0</formula>
    </cfRule>
    <cfRule type="cellIs" dxfId="90" priority="93" stopIfTrue="1" operator="equal">
      <formula>0</formula>
    </cfRule>
  </conditionalFormatting>
  <conditionalFormatting sqref="B36">
    <cfRule type="cellIs" dxfId="89" priority="87" stopIfTrue="1" operator="equal">
      <formula>0</formula>
    </cfRule>
    <cfRule type="cellIs" dxfId="88" priority="88" stopIfTrue="1" operator="equal">
      <formula>0</formula>
    </cfRule>
    <cfRule type="cellIs" dxfId="87" priority="89" stopIfTrue="1" operator="equal">
      <formula>0</formula>
    </cfRule>
  </conditionalFormatting>
  <conditionalFormatting sqref="B36">
    <cfRule type="cellIs" dxfId="86" priority="85" stopIfTrue="1" operator="equal">
      <formula>0</formula>
    </cfRule>
    <cfRule type="cellIs" dxfId="85" priority="86" stopIfTrue="1" operator="between">
      <formula>-0.0001</formula>
      <formula>0.0001</formula>
    </cfRule>
  </conditionalFormatting>
  <conditionalFormatting sqref="D36">
    <cfRule type="cellIs" dxfId="84" priority="82" stopIfTrue="1" operator="equal">
      <formula>0</formula>
    </cfRule>
    <cfRule type="cellIs" dxfId="83" priority="83" stopIfTrue="1" operator="equal">
      <formula>0</formula>
    </cfRule>
    <cfRule type="cellIs" dxfId="82" priority="84" stopIfTrue="1" operator="equal">
      <formula>0</formula>
    </cfRule>
  </conditionalFormatting>
  <conditionalFormatting sqref="D38:D49">
    <cfRule type="cellIs" dxfId="81" priority="79" stopIfTrue="1" operator="equal">
      <formula>0</formula>
    </cfRule>
    <cfRule type="cellIs" dxfId="80" priority="80" stopIfTrue="1" operator="equal">
      <formula>0</formula>
    </cfRule>
    <cfRule type="cellIs" dxfId="79" priority="81" stopIfTrue="1" operator="equal">
      <formula>0</formula>
    </cfRule>
  </conditionalFormatting>
  <conditionalFormatting sqref="D38:D49">
    <cfRule type="cellIs" dxfId="78" priority="75" stopIfTrue="1" operator="between">
      <formula>-0.0001</formula>
      <formula>0.0001</formula>
    </cfRule>
    <cfRule type="cellIs" dxfId="77" priority="76" stopIfTrue="1" operator="equal">
      <formula>0</formula>
    </cfRule>
    <cfRule type="cellIs" dxfId="76" priority="77" stopIfTrue="1" operator="equal">
      <formula>0</formula>
    </cfRule>
    <cfRule type="cellIs" dxfId="75" priority="78" stopIfTrue="1" operator="equal">
      <formula>0</formula>
    </cfRule>
  </conditionalFormatting>
  <conditionalFormatting sqref="D38:D49">
    <cfRule type="cellIs" dxfId="74" priority="70" stopIfTrue="1" operator="between">
      <formula>-0.0001</formula>
      <formula>0.0001</formula>
    </cfRule>
    <cfRule type="cellIs" dxfId="73" priority="71" stopIfTrue="1" operator="between">
      <formula>-0.0001</formula>
      <formula>0.00001</formula>
    </cfRule>
    <cfRule type="cellIs" dxfId="72" priority="72" stopIfTrue="1" operator="equal">
      <formula>0</formula>
    </cfRule>
    <cfRule type="cellIs" dxfId="71" priority="73" stopIfTrue="1" operator="equal">
      <formula>0</formula>
    </cfRule>
    <cfRule type="cellIs" dxfId="70" priority="74" stopIfTrue="1" operator="equal">
      <formula>0</formula>
    </cfRule>
  </conditionalFormatting>
  <conditionalFormatting sqref="D34">
    <cfRule type="cellIs" dxfId="69" priority="67" stopIfTrue="1" operator="equal">
      <formula>0</formula>
    </cfRule>
    <cfRule type="cellIs" dxfId="68" priority="68" stopIfTrue="1" operator="equal">
      <formula>0</formula>
    </cfRule>
    <cfRule type="cellIs" dxfId="67" priority="69" stopIfTrue="1" operator="equal">
      <formula>0</formula>
    </cfRule>
  </conditionalFormatting>
  <conditionalFormatting sqref="D34">
    <cfRule type="cellIs" dxfId="66" priority="63" stopIfTrue="1" operator="between">
      <formula>-0.0001</formula>
      <formula>0.0001</formula>
    </cfRule>
    <cfRule type="cellIs" dxfId="65" priority="64" stopIfTrue="1" operator="equal">
      <formula>0</formula>
    </cfRule>
    <cfRule type="cellIs" dxfId="64" priority="65" stopIfTrue="1" operator="equal">
      <formula>0</formula>
    </cfRule>
    <cfRule type="cellIs" dxfId="63" priority="66" stopIfTrue="1" operator="equal">
      <formula>0</formula>
    </cfRule>
  </conditionalFormatting>
  <conditionalFormatting sqref="D34">
    <cfRule type="cellIs" dxfId="62" priority="58" stopIfTrue="1" operator="between">
      <formula>-0.0001</formula>
      <formula>0.0001</formula>
    </cfRule>
    <cfRule type="cellIs" dxfId="61" priority="59" stopIfTrue="1" operator="between">
      <formula>-0.0001</formula>
      <formula>0.00001</formula>
    </cfRule>
    <cfRule type="cellIs" dxfId="60" priority="60" stopIfTrue="1" operator="equal">
      <formula>0</formula>
    </cfRule>
    <cfRule type="cellIs" dxfId="59" priority="61" stopIfTrue="1" operator="equal">
      <formula>0</formula>
    </cfRule>
    <cfRule type="cellIs" dxfId="58" priority="62" stopIfTrue="1" operator="equal">
      <formula>0</formula>
    </cfRule>
  </conditionalFormatting>
  <conditionalFormatting sqref="D28">
    <cfRule type="cellIs" dxfId="57" priority="55" stopIfTrue="1" operator="equal">
      <formula>0</formula>
    </cfRule>
    <cfRule type="cellIs" dxfId="56" priority="56" stopIfTrue="1" operator="equal">
      <formula>0</formula>
    </cfRule>
    <cfRule type="cellIs" dxfId="55" priority="57" stopIfTrue="1" operator="equal">
      <formula>0</formula>
    </cfRule>
  </conditionalFormatting>
  <conditionalFormatting sqref="D28">
    <cfRule type="cellIs" dxfId="54" priority="51" stopIfTrue="1" operator="between">
      <formula>-0.0001</formula>
      <formula>0.0001</formula>
    </cfRule>
    <cfRule type="cellIs" dxfId="53" priority="52" stopIfTrue="1" operator="equal">
      <formula>0</formula>
    </cfRule>
    <cfRule type="cellIs" dxfId="52" priority="53" stopIfTrue="1" operator="equal">
      <formula>0</formula>
    </cfRule>
    <cfRule type="cellIs" dxfId="51" priority="54" stopIfTrue="1" operator="equal">
      <formula>0</formula>
    </cfRule>
  </conditionalFormatting>
  <conditionalFormatting sqref="D28">
    <cfRule type="cellIs" dxfId="50" priority="46" stopIfTrue="1" operator="between">
      <formula>-0.0001</formula>
      <formula>0.0001</formula>
    </cfRule>
    <cfRule type="cellIs" dxfId="49" priority="47" stopIfTrue="1" operator="between">
      <formula>-0.0001</formula>
      <formula>0.00001</formula>
    </cfRule>
    <cfRule type="cellIs" dxfId="48" priority="48" stopIfTrue="1" operator="equal">
      <formula>0</formula>
    </cfRule>
    <cfRule type="cellIs" dxfId="47" priority="49" stopIfTrue="1" operator="equal">
      <formula>0</formula>
    </cfRule>
    <cfRule type="cellIs" dxfId="46" priority="50" stopIfTrue="1" operator="equal">
      <formula>0</formula>
    </cfRule>
  </conditionalFormatting>
  <conditionalFormatting sqref="D28">
    <cfRule type="cellIs" dxfId="45" priority="42" stopIfTrue="1" operator="between">
      <formula>-0.0001</formula>
      <formula>0.00001</formula>
    </cfRule>
    <cfRule type="cellIs" dxfId="44" priority="43" stopIfTrue="1" operator="equal">
      <formula>0</formula>
    </cfRule>
    <cfRule type="cellIs" dxfId="43" priority="44" stopIfTrue="1" operator="equal">
      <formula>0</formula>
    </cfRule>
    <cfRule type="cellIs" dxfId="42" priority="45" stopIfTrue="1" operator="equal">
      <formula>0</formula>
    </cfRule>
  </conditionalFormatting>
  <conditionalFormatting sqref="D11">
    <cfRule type="cellIs" dxfId="41" priority="39" stopIfTrue="1" operator="equal">
      <formula>0</formula>
    </cfRule>
    <cfRule type="cellIs" dxfId="40" priority="40" stopIfTrue="1" operator="equal">
      <formula>0</formula>
    </cfRule>
    <cfRule type="cellIs" dxfId="39" priority="41" stopIfTrue="1" operator="equal">
      <formula>0</formula>
    </cfRule>
  </conditionalFormatting>
  <conditionalFormatting sqref="D11">
    <cfRule type="cellIs" dxfId="38" priority="35" stopIfTrue="1" operator="between">
      <formula>-0.0001</formula>
      <formula>0.0001</formula>
    </cfRule>
    <cfRule type="cellIs" dxfId="37" priority="36" stopIfTrue="1" operator="equal">
      <formula>0</formula>
    </cfRule>
    <cfRule type="cellIs" dxfId="36" priority="37" stopIfTrue="1" operator="equal">
      <formula>0</formula>
    </cfRule>
    <cfRule type="cellIs" dxfId="35" priority="38" stopIfTrue="1" operator="equal">
      <formula>0</formula>
    </cfRule>
  </conditionalFormatting>
  <conditionalFormatting sqref="D11">
    <cfRule type="cellIs" dxfId="34" priority="30" stopIfTrue="1" operator="between">
      <formula>-0.0001</formula>
      <formula>0.0001</formula>
    </cfRule>
    <cfRule type="cellIs" dxfId="33" priority="31" stopIfTrue="1" operator="between">
      <formula>-0.0001</formula>
      <formula>0.00001</formula>
    </cfRule>
    <cfRule type="cellIs" dxfId="32" priority="32" stopIfTrue="1" operator="equal">
      <formula>0</formula>
    </cfRule>
    <cfRule type="cellIs" dxfId="31" priority="33" stopIfTrue="1" operator="equal">
      <formula>0</formula>
    </cfRule>
    <cfRule type="cellIs" dxfId="30" priority="34" stopIfTrue="1" operator="equal">
      <formula>0</formula>
    </cfRule>
  </conditionalFormatting>
  <conditionalFormatting sqref="D11">
    <cfRule type="cellIs" dxfId="29" priority="26" stopIfTrue="1" operator="between">
      <formula>-0.0001</formula>
      <formula>0.00001</formula>
    </cfRule>
    <cfRule type="cellIs" dxfId="28" priority="27" stopIfTrue="1" operator="equal">
      <formula>0</formula>
    </cfRule>
    <cfRule type="cellIs" dxfId="27" priority="28" stopIfTrue="1" operator="equal">
      <formula>0</formula>
    </cfRule>
    <cfRule type="cellIs" dxfId="26" priority="29" stopIfTrue="1" operator="equal">
      <formula>0</formula>
    </cfRule>
  </conditionalFormatting>
  <conditionalFormatting sqref="B57 B52">
    <cfRule type="expression" dxfId="25" priority="25" stopIfTrue="1">
      <formula>AND(COUNTIF($A:$A, B52)&gt;1,NOT(ISBLANK(B52)))</formula>
    </cfRule>
  </conditionalFormatting>
  <conditionalFormatting sqref="B56">
    <cfRule type="cellIs" dxfId="24" priority="22" stopIfTrue="1" operator="equal">
      <formula>0</formula>
    </cfRule>
    <cfRule type="cellIs" dxfId="23" priority="23" stopIfTrue="1" operator="equal">
      <formula>0</formula>
    </cfRule>
    <cfRule type="cellIs" dxfId="22" priority="24" stopIfTrue="1" operator="equal">
      <formula>0</formula>
    </cfRule>
  </conditionalFormatting>
  <conditionalFormatting sqref="B56">
    <cfRule type="cellIs" dxfId="21" priority="20" stopIfTrue="1" operator="equal">
      <formula>0</formula>
    </cfRule>
    <cfRule type="cellIs" dxfId="20" priority="21" stopIfTrue="1" operator="between">
      <formula>-0.0001</formula>
      <formula>0.0001</formula>
    </cfRule>
  </conditionalFormatting>
  <conditionalFormatting sqref="B52">
    <cfRule type="cellIs" dxfId="19" priority="17" stopIfTrue="1" operator="equal">
      <formula>0</formula>
    </cfRule>
    <cfRule type="cellIs" dxfId="18" priority="18" stopIfTrue="1" operator="equal">
      <formula>0</formula>
    </cfRule>
    <cfRule type="cellIs" dxfId="17" priority="19" stopIfTrue="1" operator="equal">
      <formula>0</formula>
    </cfRule>
  </conditionalFormatting>
  <conditionalFormatting sqref="D54">
    <cfRule type="cellIs" dxfId="16" priority="14" stopIfTrue="1" operator="equal">
      <formula>0</formula>
    </cfRule>
    <cfRule type="cellIs" dxfId="15" priority="15" stopIfTrue="1" operator="equal">
      <formula>0</formula>
    </cfRule>
    <cfRule type="cellIs" dxfId="14" priority="16" stopIfTrue="1" operator="equal">
      <formula>0</formula>
    </cfRule>
  </conditionalFormatting>
  <conditionalFormatting sqref="D54">
    <cfRule type="cellIs" dxfId="13" priority="10" stopIfTrue="1" operator="between">
      <formula>-0.0001</formula>
      <formula>0.0001</formula>
    </cfRule>
    <cfRule type="cellIs" dxfId="12" priority="11" stopIfTrue="1" operator="equal">
      <formula>0</formula>
    </cfRule>
    <cfRule type="cellIs" dxfId="11" priority="12" stopIfTrue="1" operator="equal">
      <formula>0</formula>
    </cfRule>
    <cfRule type="cellIs" dxfId="10" priority="13" stopIfTrue="1" operator="equal">
      <formula>0</formula>
    </cfRule>
  </conditionalFormatting>
  <conditionalFormatting sqref="D54">
    <cfRule type="cellIs" dxfId="9" priority="5" stopIfTrue="1" operator="between">
      <formula>-0.0001</formula>
      <formula>0.0001</formula>
    </cfRule>
    <cfRule type="cellIs" dxfId="8" priority="6" stopIfTrue="1" operator="between">
      <formula>-0.0001</formula>
      <formula>0.00001</formula>
    </cfRule>
    <cfRule type="cellIs" dxfId="7" priority="7" stopIfTrue="1" operator="equal">
      <formula>0</formula>
    </cfRule>
    <cfRule type="cellIs" dxfId="6" priority="8" stopIfTrue="1" operator="equal">
      <formula>0</formula>
    </cfRule>
    <cfRule type="cellIs" dxfId="5" priority="9" stopIfTrue="1" operator="equal">
      <formula>0</formula>
    </cfRule>
  </conditionalFormatting>
  <conditionalFormatting sqref="D54">
    <cfRule type="cellIs" dxfId="4" priority="1" stopIfTrue="1" operator="between">
      <formula>-0.0001</formula>
      <formula>0.00001</formula>
    </cfRule>
    <cfRule type="cellIs" dxfId="3" priority="2" stopIfTrue="1" operator="equal">
      <formula>0</formula>
    </cfRule>
    <cfRule type="cellIs" dxfId="2" priority="3" stopIfTrue="1" operator="equal">
      <formula>0</formula>
    </cfRule>
    <cfRule type="cellIs" dxfId="1" priority="4"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2"/>
  <sheetViews>
    <sheetView zoomScaleNormal="100" zoomScaleSheetLayoutView="85" zoomScalePageLayoutView="70" workbookViewId="0">
      <selection activeCell="A2" sqref="A2:X2"/>
    </sheetView>
  </sheetViews>
  <sheetFormatPr defaultColWidth="9" defaultRowHeight="18.75" x14ac:dyDescent="0.25"/>
  <cols>
    <col min="1" max="1" width="5.375" style="206" customWidth="1"/>
    <col min="2" max="2" width="51.375" style="206" customWidth="1"/>
    <col min="3" max="3" width="19.25" style="206" customWidth="1"/>
    <col min="4" max="4" width="23.375" style="280" customWidth="1"/>
    <col min="5" max="5" width="9.75" style="206" hidden="1" customWidth="1"/>
    <col min="6" max="6" width="9.625" style="206" hidden="1" customWidth="1"/>
    <col min="7" max="7" width="10.125" style="206" hidden="1" customWidth="1"/>
    <col min="8" max="8" width="13.5" style="206" hidden="1" customWidth="1"/>
    <col min="9" max="9" width="10.625" style="206" hidden="1" customWidth="1"/>
    <col min="10" max="10" width="12.25" style="367" hidden="1" customWidth="1"/>
    <col min="11" max="11" width="16.25" style="368" hidden="1" customWidth="1"/>
    <col min="12" max="13" width="0" style="368" hidden="1" customWidth="1"/>
    <col min="14" max="14" width="11.875" style="368" hidden="1" customWidth="1"/>
    <col min="15" max="15" width="13.5" style="368" hidden="1" customWidth="1"/>
    <col min="16" max="16" width="16.125" style="206" hidden="1" customWidth="1"/>
    <col min="17" max="17" width="13.25" style="369" hidden="1" customWidth="1"/>
    <col min="18" max="18" width="13.375" style="369" hidden="1" customWidth="1"/>
    <col min="19" max="19" width="10.625" style="280" hidden="1" customWidth="1"/>
    <col min="20" max="20" width="9.5" style="280" hidden="1" customWidth="1"/>
    <col min="21" max="21" width="10.375" style="280" hidden="1" customWidth="1"/>
    <col min="22" max="22" width="17" style="281" customWidth="1"/>
    <col min="23" max="23" width="10.375" style="280" hidden="1" customWidth="1"/>
    <col min="24" max="24" width="26" style="206" hidden="1" customWidth="1"/>
    <col min="25" max="26" width="0" style="206" hidden="1" customWidth="1"/>
    <col min="27" max="27" width="10.125" style="206" hidden="1" customWidth="1"/>
    <col min="28" max="29" width="0" style="206" hidden="1" customWidth="1"/>
    <col min="30" max="30" width="11.25" style="206" hidden="1" customWidth="1"/>
    <col min="31" max="32" width="0" style="206" hidden="1" customWidth="1"/>
    <col min="33" max="33" width="9.375" style="206" hidden="1" customWidth="1"/>
    <col min="34" max="34" width="0" style="206" hidden="1" customWidth="1"/>
    <col min="35" max="16384" width="9" style="206"/>
  </cols>
  <sheetData>
    <row r="1" spans="1:30" ht="38.25" customHeight="1" x14ac:dyDescent="0.25">
      <c r="A1" s="375" t="s">
        <v>263</v>
      </c>
      <c r="B1" s="375"/>
      <c r="C1" s="375"/>
      <c r="D1" s="375"/>
      <c r="E1" s="375"/>
      <c r="F1" s="375"/>
      <c r="G1" s="375"/>
      <c r="H1" s="375"/>
      <c r="I1" s="375"/>
      <c r="J1" s="375"/>
      <c r="K1" s="375"/>
      <c r="L1" s="375"/>
      <c r="M1" s="375"/>
      <c r="N1" s="375"/>
      <c r="O1" s="375"/>
      <c r="P1" s="375"/>
      <c r="Q1" s="375"/>
      <c r="R1" s="375"/>
      <c r="S1" s="375"/>
      <c r="T1" s="375"/>
      <c r="U1" s="375"/>
      <c r="V1" s="375"/>
      <c r="W1" s="375"/>
      <c r="X1" s="375"/>
    </row>
    <row r="2" spans="1:30" x14ac:dyDescent="0.25">
      <c r="A2" s="381" t="s">
        <v>270</v>
      </c>
      <c r="B2" s="381"/>
      <c r="C2" s="381"/>
      <c r="D2" s="381"/>
      <c r="E2" s="381"/>
      <c r="F2" s="381"/>
      <c r="G2" s="381"/>
      <c r="H2" s="381"/>
      <c r="I2" s="381"/>
      <c r="J2" s="381"/>
      <c r="K2" s="381"/>
      <c r="L2" s="381"/>
      <c r="M2" s="381"/>
      <c r="N2" s="381"/>
      <c r="O2" s="381"/>
      <c r="P2" s="381"/>
      <c r="Q2" s="381"/>
      <c r="R2" s="381"/>
      <c r="S2" s="381"/>
      <c r="T2" s="381"/>
      <c r="U2" s="381"/>
      <c r="V2" s="381"/>
      <c r="W2" s="381"/>
      <c r="X2" s="381"/>
    </row>
    <row r="3" spans="1:30" ht="18.75" customHeight="1" x14ac:dyDescent="0.25">
      <c r="A3" s="386"/>
      <c r="B3" s="386"/>
      <c r="C3" s="386"/>
      <c r="D3" s="386"/>
      <c r="E3" s="386"/>
      <c r="F3" s="386"/>
      <c r="G3" s="386"/>
      <c r="H3" s="386"/>
      <c r="I3" s="386"/>
      <c r="J3" s="386"/>
      <c r="K3" s="386"/>
      <c r="L3" s="386"/>
      <c r="M3" s="386"/>
      <c r="N3" s="386"/>
      <c r="O3" s="386"/>
      <c r="P3" s="386"/>
      <c r="Q3" s="386"/>
      <c r="R3" s="279"/>
      <c r="X3" s="282" t="s">
        <v>235</v>
      </c>
    </row>
    <row r="4" spans="1:30" ht="51" customHeight="1" x14ac:dyDescent="0.25">
      <c r="A4" s="387" t="s">
        <v>0</v>
      </c>
      <c r="B4" s="387" t="s">
        <v>96</v>
      </c>
      <c r="C4" s="387" t="s">
        <v>115</v>
      </c>
      <c r="D4" s="387" t="s">
        <v>97</v>
      </c>
      <c r="E4" s="385" t="s">
        <v>98</v>
      </c>
      <c r="F4" s="385"/>
      <c r="G4" s="385"/>
      <c r="H4" s="378" t="s">
        <v>6</v>
      </c>
      <c r="I4" s="378" t="s">
        <v>148</v>
      </c>
      <c r="J4" s="379" t="s">
        <v>101</v>
      </c>
      <c r="K4" s="380" t="s">
        <v>99</v>
      </c>
      <c r="L4" s="380"/>
      <c r="M4" s="380"/>
      <c r="N4" s="380"/>
      <c r="O4" s="380"/>
      <c r="P4" s="380"/>
      <c r="Q4" s="385" t="s">
        <v>188</v>
      </c>
      <c r="R4" s="376" t="s">
        <v>189</v>
      </c>
      <c r="S4" s="177" t="s">
        <v>259</v>
      </c>
      <c r="T4" s="177"/>
      <c r="U4" s="177"/>
      <c r="V4" s="382" t="s">
        <v>260</v>
      </c>
      <c r="W4" s="177"/>
      <c r="X4" s="376" t="s">
        <v>182</v>
      </c>
    </row>
    <row r="5" spans="1:30" s="288" customFormat="1" ht="11.25" hidden="1" customHeight="1" x14ac:dyDescent="0.25">
      <c r="A5" s="387"/>
      <c r="B5" s="387"/>
      <c r="C5" s="387"/>
      <c r="D5" s="387"/>
      <c r="E5" s="283"/>
      <c r="F5" s="284"/>
      <c r="G5" s="285"/>
      <c r="H5" s="378"/>
      <c r="I5" s="378"/>
      <c r="J5" s="379"/>
      <c r="K5" s="286"/>
      <c r="L5" s="284"/>
      <c r="M5" s="284"/>
      <c r="N5" s="284"/>
      <c r="O5" s="284"/>
      <c r="P5" s="284"/>
      <c r="Q5" s="385"/>
      <c r="R5" s="377"/>
      <c r="S5" s="287">
        <v>2021</v>
      </c>
      <c r="T5" s="287">
        <v>2022</v>
      </c>
      <c r="U5" s="287">
        <v>2023</v>
      </c>
      <c r="V5" s="383"/>
      <c r="W5" s="287">
        <v>2025</v>
      </c>
      <c r="X5" s="377"/>
    </row>
    <row r="6" spans="1:30" s="293" customFormat="1" ht="25.5" customHeight="1" x14ac:dyDescent="0.25">
      <c r="A6" s="197"/>
      <c r="B6" s="289" t="s">
        <v>226</v>
      </c>
      <c r="C6" s="290"/>
      <c r="D6" s="290"/>
      <c r="E6" s="291" t="e">
        <f t="shared" ref="E6:W6" si="0">E7+E24</f>
        <v>#VALUE!</v>
      </c>
      <c r="F6" s="291">
        <f t="shared" si="0"/>
        <v>98.550899999999999</v>
      </c>
      <c r="G6" s="291">
        <f t="shared" si="0"/>
        <v>23.29222</v>
      </c>
      <c r="H6" s="291">
        <f t="shared" si="0"/>
        <v>34.715690000000002</v>
      </c>
      <c r="I6" s="291">
        <f t="shared" si="0"/>
        <v>2.4</v>
      </c>
      <c r="J6" s="291">
        <f t="shared" si="0"/>
        <v>1485711.963</v>
      </c>
      <c r="K6" s="291">
        <f t="shared" si="0"/>
        <v>63.238550000000004</v>
      </c>
      <c r="L6" s="291">
        <f t="shared" si="0"/>
        <v>0</v>
      </c>
      <c r="M6" s="291">
        <f t="shared" si="0"/>
        <v>0</v>
      </c>
      <c r="N6" s="291">
        <f t="shared" si="0"/>
        <v>0</v>
      </c>
      <c r="O6" s="291">
        <f t="shared" si="0"/>
        <v>465584.36757100001</v>
      </c>
      <c r="P6" s="291">
        <f t="shared" si="0"/>
        <v>452511</v>
      </c>
      <c r="Q6" s="291">
        <f t="shared" si="0"/>
        <v>673716.59542899998</v>
      </c>
      <c r="R6" s="291">
        <f t="shared" si="0"/>
        <v>790752.39299999992</v>
      </c>
      <c r="S6" s="291">
        <f t="shared" si="0"/>
        <v>21662</v>
      </c>
      <c r="T6" s="291">
        <f t="shared" si="0"/>
        <v>73354.092999999993</v>
      </c>
      <c r="U6" s="291">
        <f t="shared" si="0"/>
        <v>107916.3</v>
      </c>
      <c r="V6" s="291">
        <f t="shared" si="0"/>
        <v>264700</v>
      </c>
      <c r="W6" s="291">
        <f t="shared" si="0"/>
        <v>323120</v>
      </c>
      <c r="X6" s="292"/>
    </row>
    <row r="7" spans="1:30" ht="27" customHeight="1" x14ac:dyDescent="0.25">
      <c r="A7" s="294" t="s">
        <v>13</v>
      </c>
      <c r="B7" s="295" t="s">
        <v>214</v>
      </c>
      <c r="C7" s="177"/>
      <c r="D7" s="296"/>
      <c r="E7" s="297" t="e">
        <f t="shared" ref="E7:P7" si="1">E8+E21+E11+E38+E14</f>
        <v>#VALUE!</v>
      </c>
      <c r="F7" s="297">
        <f t="shared" si="1"/>
        <v>38.410899999999998</v>
      </c>
      <c r="G7" s="297">
        <f t="shared" si="1"/>
        <v>22.83372</v>
      </c>
      <c r="H7" s="297">
        <f t="shared" si="1"/>
        <v>10.230690000000001</v>
      </c>
      <c r="I7" s="297">
        <f t="shared" si="1"/>
        <v>2.4</v>
      </c>
      <c r="J7" s="297">
        <f t="shared" si="1"/>
        <v>349161.96299999999</v>
      </c>
      <c r="K7" s="297">
        <f t="shared" si="1"/>
        <v>25.788</v>
      </c>
      <c r="L7" s="297">
        <f t="shared" si="1"/>
        <v>0</v>
      </c>
      <c r="M7" s="297">
        <f t="shared" si="1"/>
        <v>0</v>
      </c>
      <c r="N7" s="297">
        <f t="shared" si="1"/>
        <v>0</v>
      </c>
      <c r="O7" s="297">
        <f t="shared" si="1"/>
        <v>56791.367571000002</v>
      </c>
      <c r="P7" s="297">
        <f t="shared" si="1"/>
        <v>179612</v>
      </c>
      <c r="Q7" s="298">
        <f t="shared" ref="Q7:W7" si="2">Q8+Q21+Q11+Q14</f>
        <v>207959.59542900001</v>
      </c>
      <c r="R7" s="298">
        <f t="shared" si="2"/>
        <v>232665.39299999998</v>
      </c>
      <c r="S7" s="298">
        <f t="shared" si="2"/>
        <v>4872</v>
      </c>
      <c r="T7" s="298">
        <f t="shared" si="2"/>
        <v>31833.093000000001</v>
      </c>
      <c r="U7" s="298">
        <f t="shared" si="2"/>
        <v>12540.3</v>
      </c>
      <c r="V7" s="298">
        <f t="shared" si="2"/>
        <v>47700</v>
      </c>
      <c r="W7" s="298">
        <f t="shared" si="2"/>
        <v>135720</v>
      </c>
      <c r="X7" s="299"/>
    </row>
    <row r="8" spans="1:30" ht="30.75" customHeight="1" x14ac:dyDescent="0.25">
      <c r="A8" s="197">
        <v>1</v>
      </c>
      <c r="B8" s="198" t="s">
        <v>108</v>
      </c>
      <c r="C8" s="199"/>
      <c r="D8" s="200"/>
      <c r="E8" s="200"/>
      <c r="F8" s="300">
        <f>F9+F10</f>
        <v>22.2</v>
      </c>
      <c r="G8" s="300">
        <f>G9+G10</f>
        <v>12.8</v>
      </c>
      <c r="H8" s="300">
        <f>H9+H10</f>
        <v>4.7</v>
      </c>
      <c r="I8" s="300"/>
      <c r="J8" s="301">
        <f>J9+J10</f>
        <v>195000</v>
      </c>
      <c r="K8" s="300">
        <f>K9+K10</f>
        <v>12.8</v>
      </c>
      <c r="L8" s="300"/>
      <c r="M8" s="300"/>
      <c r="N8" s="300"/>
      <c r="O8" s="301">
        <f>O9+O10</f>
        <v>28722</v>
      </c>
      <c r="P8" s="301">
        <f>P9+P10</f>
        <v>87278</v>
      </c>
      <c r="Q8" s="298">
        <f t="shared" ref="Q8:Q10" si="3">J8-O8-P8</f>
        <v>79000</v>
      </c>
      <c r="R8" s="298">
        <f>R9+R10</f>
        <v>31212.3</v>
      </c>
      <c r="S8" s="298">
        <f t="shared" ref="S8:V8" si="4">S9+S10</f>
        <v>0</v>
      </c>
      <c r="T8" s="298">
        <f t="shared" si="4"/>
        <v>2305</v>
      </c>
      <c r="U8" s="298">
        <f t="shared" si="4"/>
        <v>2157.3000000000002</v>
      </c>
      <c r="V8" s="298">
        <f t="shared" si="4"/>
        <v>4000</v>
      </c>
      <c r="W8" s="298">
        <f>W9+W10</f>
        <v>22750</v>
      </c>
      <c r="X8" s="299"/>
    </row>
    <row r="9" spans="1:30" ht="44.25" customHeight="1" x14ac:dyDescent="0.25">
      <c r="A9" s="207" t="s">
        <v>144</v>
      </c>
      <c r="B9" s="302" t="s">
        <v>117</v>
      </c>
      <c r="C9" s="209" t="s">
        <v>116</v>
      </c>
      <c r="D9" s="210" t="s">
        <v>119</v>
      </c>
      <c r="E9" s="210"/>
      <c r="F9" s="303">
        <v>20</v>
      </c>
      <c r="G9" s="303">
        <v>10.6</v>
      </c>
      <c r="H9" s="303">
        <v>2.7</v>
      </c>
      <c r="I9" s="303">
        <v>5</v>
      </c>
      <c r="J9" s="304">
        <f>H9*I9*10000</f>
        <v>135000</v>
      </c>
      <c r="K9" s="213">
        <v>10.6</v>
      </c>
      <c r="L9" s="213"/>
      <c r="M9" s="213"/>
      <c r="N9" s="213"/>
      <c r="O9" s="304">
        <v>25072</v>
      </c>
      <c r="P9" s="304">
        <v>84928</v>
      </c>
      <c r="Q9" s="304">
        <f t="shared" si="3"/>
        <v>25000</v>
      </c>
      <c r="R9" s="304">
        <f>SUM(S9:W9)</f>
        <v>13462.3</v>
      </c>
      <c r="S9" s="304"/>
      <c r="T9" s="304">
        <v>2305</v>
      </c>
      <c r="U9" s="304">
        <v>2157.3000000000002</v>
      </c>
      <c r="V9" s="304">
        <v>4000</v>
      </c>
      <c r="W9" s="304">
        <v>5000</v>
      </c>
      <c r="X9" s="215"/>
      <c r="AC9" s="206" t="s">
        <v>215</v>
      </c>
      <c r="AD9" s="225"/>
    </row>
    <row r="10" spans="1:30" ht="57" customHeight="1" x14ac:dyDescent="0.25">
      <c r="A10" s="260" t="s">
        <v>145</v>
      </c>
      <c r="B10" s="305" t="s">
        <v>118</v>
      </c>
      <c r="C10" s="306" t="s">
        <v>120</v>
      </c>
      <c r="D10" s="263" t="s">
        <v>119</v>
      </c>
      <c r="E10" s="263"/>
      <c r="F10" s="307">
        <v>2.2000000000000002</v>
      </c>
      <c r="G10" s="307">
        <v>2.2000000000000002</v>
      </c>
      <c r="H10" s="307">
        <v>2</v>
      </c>
      <c r="I10" s="307">
        <f>30000/10000</f>
        <v>3</v>
      </c>
      <c r="J10" s="308">
        <f>H10*I10*10000</f>
        <v>60000</v>
      </c>
      <c r="K10" s="266">
        <v>2.2000000000000002</v>
      </c>
      <c r="L10" s="266"/>
      <c r="M10" s="266"/>
      <c r="N10" s="266"/>
      <c r="O10" s="308">
        <v>3650</v>
      </c>
      <c r="P10" s="308">
        <v>2350</v>
      </c>
      <c r="Q10" s="171">
        <f t="shared" si="3"/>
        <v>54000</v>
      </c>
      <c r="R10" s="171">
        <f>SUM(S10:W10)</f>
        <v>17750</v>
      </c>
      <c r="S10" s="171"/>
      <c r="T10" s="171"/>
      <c r="U10" s="171"/>
      <c r="V10" s="171"/>
      <c r="W10" s="171">
        <v>17750</v>
      </c>
      <c r="X10" s="268"/>
    </row>
    <row r="11" spans="1:30" ht="38.25" customHeight="1" x14ac:dyDescent="0.25">
      <c r="A11" s="197">
        <v>3</v>
      </c>
      <c r="B11" s="198" t="s">
        <v>111</v>
      </c>
      <c r="C11" s="199"/>
      <c r="D11" s="200"/>
      <c r="E11" s="199"/>
      <c r="F11" s="201">
        <f>F12+F13</f>
        <v>4.0880000000000001</v>
      </c>
      <c r="G11" s="201"/>
      <c r="H11" s="201">
        <f>H12+H13</f>
        <v>0.41069</v>
      </c>
      <c r="I11" s="201"/>
      <c r="J11" s="309">
        <f>J12+J13</f>
        <v>7701.9629999999997</v>
      </c>
      <c r="K11" s="310">
        <f>K12+K13</f>
        <v>0.86799999999999988</v>
      </c>
      <c r="L11" s="311"/>
      <c r="M11" s="311"/>
      <c r="N11" s="311"/>
      <c r="O11" s="312">
        <f>O12+O13</f>
        <v>2469.3675710000002</v>
      </c>
      <c r="P11" s="312">
        <f>P12+P13</f>
        <v>2273</v>
      </c>
      <c r="Q11" s="298">
        <f>J11-O11-P11</f>
        <v>2959.5954289999991</v>
      </c>
      <c r="R11" s="298">
        <f>SUM(R12:R13)</f>
        <v>3186.7</v>
      </c>
      <c r="S11" s="298">
        <f t="shared" ref="S11:W11" si="5">SUM(S12:S13)</f>
        <v>0</v>
      </c>
      <c r="T11" s="298">
        <f t="shared" si="5"/>
        <v>403.7</v>
      </c>
      <c r="U11" s="298">
        <f t="shared" si="5"/>
        <v>383</v>
      </c>
      <c r="V11" s="298">
        <f t="shared" si="5"/>
        <v>1200</v>
      </c>
      <c r="W11" s="298">
        <f t="shared" si="5"/>
        <v>1200</v>
      </c>
      <c r="X11" s="298"/>
    </row>
    <row r="12" spans="1:30" ht="45" customHeight="1" x14ac:dyDescent="0.25">
      <c r="A12" s="207" t="s">
        <v>154</v>
      </c>
      <c r="B12" s="209" t="s">
        <v>123</v>
      </c>
      <c r="C12" s="210" t="s">
        <v>116</v>
      </c>
      <c r="D12" s="210" t="s">
        <v>124</v>
      </c>
      <c r="E12" s="210" t="s">
        <v>125</v>
      </c>
      <c r="F12" s="303">
        <v>3.8</v>
      </c>
      <c r="G12" s="303"/>
      <c r="H12" s="303">
        <f xml:space="preserve"> 2800.3/10000</f>
        <v>0.28003</v>
      </c>
      <c r="I12" s="303">
        <v>1.2316466092918614</v>
      </c>
      <c r="J12" s="304">
        <f>H12*I12*10000</f>
        <v>3448.98</v>
      </c>
      <c r="K12" s="313" t="s">
        <v>126</v>
      </c>
      <c r="L12" s="314"/>
      <c r="M12" s="314"/>
      <c r="N12" s="314"/>
      <c r="O12" s="214">
        <f>2469367571/1000000</f>
        <v>2469.3675710000002</v>
      </c>
      <c r="P12" s="315">
        <v>0</v>
      </c>
      <c r="Q12" s="171">
        <f>J12-O12</f>
        <v>979.61242899999979</v>
      </c>
      <c r="R12" s="171">
        <f>SUM(S12:W12)</f>
        <v>980</v>
      </c>
      <c r="S12" s="171"/>
      <c r="T12" s="171"/>
      <c r="U12" s="171"/>
      <c r="V12" s="171"/>
      <c r="W12" s="171">
        <v>980</v>
      </c>
      <c r="X12" s="171"/>
      <c r="AC12" s="206" t="s">
        <v>217</v>
      </c>
      <c r="AD12" s="225"/>
    </row>
    <row r="13" spans="1:30" ht="38.25" customHeight="1" x14ac:dyDescent="0.25">
      <c r="A13" s="260" t="s">
        <v>155</v>
      </c>
      <c r="B13" s="306" t="s">
        <v>127</v>
      </c>
      <c r="C13" s="263" t="s">
        <v>116</v>
      </c>
      <c r="D13" s="263" t="s">
        <v>128</v>
      </c>
      <c r="E13" s="263" t="s">
        <v>25</v>
      </c>
      <c r="F13" s="307">
        <f>2880/10000</f>
        <v>0.28799999999999998</v>
      </c>
      <c r="G13" s="307"/>
      <c r="H13" s="307">
        <f>(1427.5-120.9)/10000</f>
        <v>0.13066</v>
      </c>
      <c r="I13" s="307">
        <v>3.2549999999999999</v>
      </c>
      <c r="J13" s="308">
        <f>I13*H13*10000</f>
        <v>4252.9829999999993</v>
      </c>
      <c r="K13" s="316">
        <f>F13</f>
        <v>0.28799999999999998</v>
      </c>
      <c r="L13" s="317"/>
      <c r="M13" s="317"/>
      <c r="N13" s="317"/>
      <c r="O13" s="318">
        <v>0</v>
      </c>
      <c r="P13" s="267">
        <v>2273</v>
      </c>
      <c r="Q13" s="171">
        <f>J13-O13-P13</f>
        <v>1979.9829999999993</v>
      </c>
      <c r="R13" s="171">
        <f>SUM(S13:W13)</f>
        <v>2206.6999999999998</v>
      </c>
      <c r="S13" s="171">
        <v>0</v>
      </c>
      <c r="T13" s="171">
        <v>403.7</v>
      </c>
      <c r="U13" s="171">
        <v>383</v>
      </c>
      <c r="V13" s="171">
        <v>1200</v>
      </c>
      <c r="W13" s="171">
        <v>220</v>
      </c>
      <c r="X13" s="171"/>
      <c r="AC13" s="206" t="s">
        <v>216</v>
      </c>
    </row>
    <row r="14" spans="1:30" ht="38.25" customHeight="1" x14ac:dyDescent="0.25">
      <c r="A14" s="197">
        <v>4</v>
      </c>
      <c r="B14" s="198" t="s">
        <v>109</v>
      </c>
      <c r="C14" s="199"/>
      <c r="D14" s="200"/>
      <c r="E14" s="199"/>
      <c r="F14" s="201"/>
      <c r="G14" s="201"/>
      <c r="H14" s="201"/>
      <c r="I14" s="201"/>
      <c r="J14" s="202"/>
      <c r="K14" s="203"/>
      <c r="L14" s="203"/>
      <c r="M14" s="203"/>
      <c r="N14" s="203"/>
      <c r="O14" s="204"/>
      <c r="P14" s="204"/>
      <c r="Q14" s="298">
        <f>SUM(Q15:Q17)</f>
        <v>106100</v>
      </c>
      <c r="R14" s="298">
        <f>SUM(R15:R20)</f>
        <v>150246.39299999998</v>
      </c>
      <c r="S14" s="298">
        <f t="shared" ref="S14:U14" si="6">SUM(S15:S20)</f>
        <v>4872</v>
      </c>
      <c r="T14" s="298">
        <f t="shared" si="6"/>
        <v>29124.393</v>
      </c>
      <c r="U14" s="298">
        <f t="shared" si="6"/>
        <v>10000</v>
      </c>
      <c r="V14" s="298">
        <f>SUM(V15:V20)</f>
        <v>26000</v>
      </c>
      <c r="W14" s="298">
        <f>SUM(W15:W20)</f>
        <v>80250</v>
      </c>
      <c r="X14" s="205"/>
    </row>
    <row r="15" spans="1:30" ht="30.75" customHeight="1" x14ac:dyDescent="0.25">
      <c r="A15" s="207" t="s">
        <v>156</v>
      </c>
      <c r="B15" s="208" t="s">
        <v>157</v>
      </c>
      <c r="C15" s="209" t="s">
        <v>131</v>
      </c>
      <c r="D15" s="210" t="s">
        <v>158</v>
      </c>
      <c r="E15" s="210" t="s">
        <v>25</v>
      </c>
      <c r="F15" s="211">
        <v>1.9</v>
      </c>
      <c r="G15" s="211"/>
      <c r="H15" s="211">
        <v>1</v>
      </c>
      <c r="I15" s="211">
        <v>5</v>
      </c>
      <c r="J15" s="212">
        <f>H15*I15*10000</f>
        <v>50000</v>
      </c>
      <c r="K15" s="213"/>
      <c r="L15" s="213"/>
      <c r="M15" s="213"/>
      <c r="N15" s="213"/>
      <c r="O15" s="214"/>
      <c r="P15" s="214"/>
      <c r="Q15" s="304">
        <f>J15</f>
        <v>50000</v>
      </c>
      <c r="R15" s="304">
        <f>SUM(S15:W15)</f>
        <v>25000</v>
      </c>
      <c r="S15" s="304"/>
      <c r="T15" s="304"/>
      <c r="U15" s="304"/>
      <c r="V15" s="304">
        <f>10000+4500</f>
        <v>14500</v>
      </c>
      <c r="W15" s="304">
        <v>10500</v>
      </c>
      <c r="X15" s="215"/>
      <c r="AC15" s="206" t="s">
        <v>215</v>
      </c>
    </row>
    <row r="16" spans="1:30" ht="38.25" customHeight="1" x14ac:dyDescent="0.25">
      <c r="A16" s="216" t="s">
        <v>223</v>
      </c>
      <c r="B16" s="217" t="s">
        <v>159</v>
      </c>
      <c r="C16" s="218" t="s">
        <v>129</v>
      </c>
      <c r="D16" s="219" t="s">
        <v>158</v>
      </c>
      <c r="E16" s="219" t="s">
        <v>25</v>
      </c>
      <c r="F16" s="220"/>
      <c r="G16" s="220"/>
      <c r="H16" s="220">
        <v>1.1000000000000001</v>
      </c>
      <c r="I16" s="220">
        <v>4</v>
      </c>
      <c r="J16" s="221">
        <f>H16*I16*10000</f>
        <v>44000</v>
      </c>
      <c r="K16" s="222"/>
      <c r="L16" s="222"/>
      <c r="M16" s="222"/>
      <c r="N16" s="222"/>
      <c r="O16" s="223"/>
      <c r="P16" s="223"/>
      <c r="Q16" s="171">
        <f>J16*40%</f>
        <v>17600</v>
      </c>
      <c r="R16" s="171">
        <f>SUM(S16:W16)</f>
        <v>52996.392999999996</v>
      </c>
      <c r="S16" s="171">
        <v>4872</v>
      </c>
      <c r="T16" s="171">
        <v>29124.393</v>
      </c>
      <c r="U16" s="171">
        <v>10000</v>
      </c>
      <c r="V16" s="171">
        <v>9000</v>
      </c>
      <c r="W16" s="171"/>
      <c r="X16" s="224"/>
      <c r="AA16" s="225"/>
      <c r="AC16" s="206" t="s">
        <v>215</v>
      </c>
    </row>
    <row r="17" spans="1:33" ht="31.5" x14ac:dyDescent="0.25">
      <c r="A17" s="216" t="s">
        <v>264</v>
      </c>
      <c r="B17" s="226" t="s">
        <v>254</v>
      </c>
      <c r="C17" s="218" t="s">
        <v>129</v>
      </c>
      <c r="D17" s="219" t="s">
        <v>158</v>
      </c>
      <c r="E17" s="219" t="s">
        <v>25</v>
      </c>
      <c r="F17" s="220"/>
      <c r="G17" s="220"/>
      <c r="H17" s="220">
        <v>1.4</v>
      </c>
      <c r="I17" s="220">
        <v>5.5</v>
      </c>
      <c r="J17" s="221">
        <f>H17*I17*10000</f>
        <v>77000</v>
      </c>
      <c r="K17" s="222"/>
      <c r="L17" s="222"/>
      <c r="M17" s="222"/>
      <c r="N17" s="222"/>
      <c r="O17" s="223"/>
      <c r="P17" s="223"/>
      <c r="Q17" s="171">
        <f>J17*50%</f>
        <v>38500</v>
      </c>
      <c r="R17" s="171">
        <f>SUM(S17:W17)</f>
        <v>50000</v>
      </c>
      <c r="S17" s="171"/>
      <c r="T17" s="171"/>
      <c r="U17" s="171"/>
      <c r="V17" s="171">
        <v>0</v>
      </c>
      <c r="W17" s="171">
        <v>50000</v>
      </c>
      <c r="X17" s="224"/>
      <c r="AC17" s="206" t="s">
        <v>215</v>
      </c>
    </row>
    <row r="18" spans="1:33" ht="27.75" customHeight="1" x14ac:dyDescent="0.25">
      <c r="A18" s="216" t="s">
        <v>265</v>
      </c>
      <c r="B18" s="226" t="s">
        <v>205</v>
      </c>
      <c r="C18" s="258" t="s">
        <v>220</v>
      </c>
      <c r="D18" s="219" t="s">
        <v>219</v>
      </c>
      <c r="E18" s="219"/>
      <c r="F18" s="220"/>
      <c r="G18" s="220"/>
      <c r="H18" s="220"/>
      <c r="I18" s="220"/>
      <c r="J18" s="221"/>
      <c r="K18" s="222"/>
      <c r="L18" s="222"/>
      <c r="M18" s="222"/>
      <c r="N18" s="222"/>
      <c r="O18" s="223"/>
      <c r="P18" s="223"/>
      <c r="Q18" s="171"/>
      <c r="R18" s="171">
        <f>SUM(S18:W18)</f>
        <v>2500</v>
      </c>
      <c r="S18" s="171"/>
      <c r="T18" s="171"/>
      <c r="U18" s="171"/>
      <c r="V18" s="171">
        <v>2500</v>
      </c>
      <c r="W18" s="171"/>
      <c r="X18" s="259"/>
      <c r="AC18" s="206" t="s">
        <v>215</v>
      </c>
    </row>
    <row r="19" spans="1:33" ht="27.75" customHeight="1" x14ac:dyDescent="0.25">
      <c r="A19" s="216" t="s">
        <v>266</v>
      </c>
      <c r="B19" s="226" t="s">
        <v>255</v>
      </c>
      <c r="C19" s="258" t="s">
        <v>220</v>
      </c>
      <c r="D19" s="219" t="s">
        <v>158</v>
      </c>
      <c r="E19" s="219"/>
      <c r="F19" s="220"/>
      <c r="G19" s="220"/>
      <c r="H19" s="220"/>
      <c r="I19" s="220"/>
      <c r="J19" s="221"/>
      <c r="K19" s="222"/>
      <c r="L19" s="222"/>
      <c r="M19" s="222"/>
      <c r="N19" s="222"/>
      <c r="O19" s="223"/>
      <c r="P19" s="223"/>
      <c r="Q19" s="171"/>
      <c r="R19" s="171">
        <f t="shared" ref="R19:R20" si="7">SUM(S19:W19)</f>
        <v>3000</v>
      </c>
      <c r="S19" s="171"/>
      <c r="T19" s="171"/>
      <c r="U19" s="171"/>
      <c r="V19" s="171"/>
      <c r="W19" s="171">
        <v>3000</v>
      </c>
      <c r="X19" s="259"/>
    </row>
    <row r="20" spans="1:33" ht="57.75" customHeight="1" x14ac:dyDescent="0.25">
      <c r="A20" s="260" t="s">
        <v>267</v>
      </c>
      <c r="B20" s="261" t="s">
        <v>256</v>
      </c>
      <c r="C20" s="262"/>
      <c r="D20" s="263" t="s">
        <v>158</v>
      </c>
      <c r="E20" s="263"/>
      <c r="F20" s="264"/>
      <c r="G20" s="264"/>
      <c r="H20" s="264"/>
      <c r="I20" s="264"/>
      <c r="J20" s="265"/>
      <c r="K20" s="266"/>
      <c r="L20" s="266"/>
      <c r="M20" s="266"/>
      <c r="N20" s="266"/>
      <c r="O20" s="267"/>
      <c r="P20" s="267"/>
      <c r="Q20" s="308"/>
      <c r="R20" s="171">
        <f t="shared" si="7"/>
        <v>16750</v>
      </c>
      <c r="S20" s="308"/>
      <c r="T20" s="308"/>
      <c r="U20" s="308"/>
      <c r="V20" s="308"/>
      <c r="W20" s="308">
        <f>9750+7000</f>
        <v>16750</v>
      </c>
      <c r="X20" s="268"/>
    </row>
    <row r="21" spans="1:33" ht="23.25" customHeight="1" x14ac:dyDescent="0.25">
      <c r="A21" s="197">
        <v>5</v>
      </c>
      <c r="B21" s="198" t="s">
        <v>113</v>
      </c>
      <c r="C21" s="199"/>
      <c r="D21" s="290"/>
      <c r="E21" s="319"/>
      <c r="F21" s="310">
        <f>F22</f>
        <v>9.91</v>
      </c>
      <c r="G21" s="310">
        <f>G22</f>
        <v>9.91</v>
      </c>
      <c r="H21" s="310">
        <f>H22</f>
        <v>3.93</v>
      </c>
      <c r="I21" s="310"/>
      <c r="J21" s="298">
        <f>J22</f>
        <v>117900.00000000001</v>
      </c>
      <c r="K21" s="311">
        <f>K22</f>
        <v>9.91</v>
      </c>
      <c r="L21" s="311"/>
      <c r="M21" s="311"/>
      <c r="N21" s="311"/>
      <c r="O21" s="301">
        <f>O22</f>
        <v>17000</v>
      </c>
      <c r="P21" s="301">
        <f>P22</f>
        <v>81000</v>
      </c>
      <c r="Q21" s="298">
        <f>J21-O21-P21</f>
        <v>19900.000000000015</v>
      </c>
      <c r="R21" s="298">
        <f>R22+R23</f>
        <v>48020.000000000007</v>
      </c>
      <c r="S21" s="298">
        <f t="shared" ref="S21:W21" si="8">S22+S23</f>
        <v>0</v>
      </c>
      <c r="T21" s="298">
        <f t="shared" si="8"/>
        <v>0</v>
      </c>
      <c r="U21" s="298">
        <f t="shared" si="8"/>
        <v>0</v>
      </c>
      <c r="V21" s="298">
        <f t="shared" si="8"/>
        <v>16500</v>
      </c>
      <c r="W21" s="298">
        <f t="shared" si="8"/>
        <v>31520.000000000007</v>
      </c>
      <c r="X21" s="205"/>
    </row>
    <row r="22" spans="1:33" ht="26.25" customHeight="1" x14ac:dyDescent="0.25">
      <c r="A22" s="207" t="s">
        <v>268</v>
      </c>
      <c r="B22" s="302" t="s">
        <v>121</v>
      </c>
      <c r="C22" s="210" t="s">
        <v>129</v>
      </c>
      <c r="D22" s="210" t="s">
        <v>122</v>
      </c>
      <c r="E22" s="210"/>
      <c r="F22" s="303">
        <v>9.91</v>
      </c>
      <c r="G22" s="303">
        <v>9.91</v>
      </c>
      <c r="H22" s="303">
        <v>3.93</v>
      </c>
      <c r="I22" s="303">
        <f>3</f>
        <v>3</v>
      </c>
      <c r="J22" s="304">
        <f>H22*I22*10000</f>
        <v>117900.00000000001</v>
      </c>
      <c r="K22" s="320">
        <v>9.91</v>
      </c>
      <c r="L22" s="213"/>
      <c r="M22" s="213"/>
      <c r="N22" s="213"/>
      <c r="O22" s="321">
        <v>17000</v>
      </c>
      <c r="P22" s="321">
        <v>81000</v>
      </c>
      <c r="Q22" s="304">
        <f>(J22-O22-P22)*50%</f>
        <v>9950.0000000000073</v>
      </c>
      <c r="R22" s="304">
        <f>SUM(S22:W22)</f>
        <v>9950.0000000000073</v>
      </c>
      <c r="S22" s="304"/>
      <c r="T22" s="304"/>
      <c r="U22" s="304"/>
      <c r="V22" s="304"/>
      <c r="W22" s="304">
        <v>9950.0000000000073</v>
      </c>
      <c r="X22" s="215"/>
      <c r="AC22" s="206" t="s">
        <v>215</v>
      </c>
    </row>
    <row r="23" spans="1:33" ht="24" customHeight="1" x14ac:dyDescent="0.25">
      <c r="A23" s="260" t="s">
        <v>269</v>
      </c>
      <c r="B23" s="305" t="s">
        <v>258</v>
      </c>
      <c r="C23" s="263"/>
      <c r="D23" s="263"/>
      <c r="E23" s="263"/>
      <c r="F23" s="307"/>
      <c r="G23" s="307"/>
      <c r="H23" s="307"/>
      <c r="I23" s="307"/>
      <c r="J23" s="308"/>
      <c r="K23" s="322"/>
      <c r="L23" s="266"/>
      <c r="M23" s="266"/>
      <c r="N23" s="266"/>
      <c r="O23" s="323"/>
      <c r="P23" s="323"/>
      <c r="Q23" s="308"/>
      <c r="R23" s="308">
        <f>SUM(S23:W23)</f>
        <v>38070</v>
      </c>
      <c r="S23" s="308"/>
      <c r="T23" s="308"/>
      <c r="U23" s="308"/>
      <c r="V23" s="308">
        <v>16500</v>
      </c>
      <c r="W23" s="308">
        <v>21570</v>
      </c>
      <c r="X23" s="268"/>
      <c r="AG23" s="225"/>
    </row>
    <row r="24" spans="1:33" s="293" customFormat="1" ht="27.75" customHeight="1" x14ac:dyDescent="0.25">
      <c r="A24" s="197" t="s">
        <v>18</v>
      </c>
      <c r="B24" s="324" t="s">
        <v>100</v>
      </c>
      <c r="C24" s="325"/>
      <c r="D24" s="326"/>
      <c r="E24" s="197"/>
      <c r="F24" s="310">
        <f>F25+F36</f>
        <v>60.14</v>
      </c>
      <c r="G24" s="310">
        <f>G25+G36</f>
        <v>0.45850000000000002</v>
      </c>
      <c r="H24" s="310">
        <f>H25+H36</f>
        <v>24.484999999999999</v>
      </c>
      <c r="I24" s="310"/>
      <c r="J24" s="309">
        <f>J25+J36</f>
        <v>1136550</v>
      </c>
      <c r="K24" s="310">
        <f>K25+K36</f>
        <v>37.450550000000007</v>
      </c>
      <c r="L24" s="311"/>
      <c r="M24" s="311"/>
      <c r="N24" s="311"/>
      <c r="O24" s="312">
        <f t="shared" ref="O24:W24" si="9">O25+O36</f>
        <v>408793</v>
      </c>
      <c r="P24" s="301">
        <f t="shared" si="9"/>
        <v>272899</v>
      </c>
      <c r="Q24" s="298">
        <f t="shared" si="9"/>
        <v>465757</v>
      </c>
      <c r="R24" s="298">
        <f t="shared" si="9"/>
        <v>558087</v>
      </c>
      <c r="S24" s="298">
        <f t="shared" si="9"/>
        <v>16790</v>
      </c>
      <c r="T24" s="298">
        <f t="shared" si="9"/>
        <v>41521</v>
      </c>
      <c r="U24" s="298">
        <f t="shared" si="9"/>
        <v>95376</v>
      </c>
      <c r="V24" s="298">
        <f t="shared" si="9"/>
        <v>217000</v>
      </c>
      <c r="W24" s="298">
        <f t="shared" si="9"/>
        <v>187400</v>
      </c>
      <c r="X24" s="205"/>
    </row>
    <row r="25" spans="1:33" ht="27.75" customHeight="1" x14ac:dyDescent="0.25">
      <c r="A25" s="197">
        <v>1</v>
      </c>
      <c r="B25" s="198" t="s">
        <v>107</v>
      </c>
      <c r="C25" s="199"/>
      <c r="D25" s="200"/>
      <c r="E25" s="199"/>
      <c r="F25" s="310">
        <f>SUM(F26:F34)</f>
        <v>57.05</v>
      </c>
      <c r="G25" s="310"/>
      <c r="H25" s="310">
        <f>SUM(H26:H34)</f>
        <v>21.395</v>
      </c>
      <c r="I25" s="310"/>
      <c r="J25" s="309">
        <f>SUM(J26:J34)</f>
        <v>1059300</v>
      </c>
      <c r="K25" s="310">
        <f t="shared" ref="K25:S25" si="10">SUM(K26:K34)</f>
        <v>34.360550000000003</v>
      </c>
      <c r="L25" s="311">
        <f t="shared" si="10"/>
        <v>0</v>
      </c>
      <c r="M25" s="311">
        <f t="shared" si="10"/>
        <v>0</v>
      </c>
      <c r="N25" s="311">
        <f t="shared" si="10"/>
        <v>0</v>
      </c>
      <c r="O25" s="312">
        <f t="shared" si="10"/>
        <v>401225</v>
      </c>
      <c r="P25" s="301">
        <f t="shared" si="10"/>
        <v>225200</v>
      </c>
      <c r="Q25" s="298">
        <f>SUM(Q26:Q35)</f>
        <v>432875</v>
      </c>
      <c r="R25" s="298">
        <f>SUM(R26:R35)</f>
        <v>520297</v>
      </c>
      <c r="S25" s="298">
        <f t="shared" si="10"/>
        <v>0</v>
      </c>
      <c r="T25" s="298">
        <f>SUM(T26:T35)</f>
        <v>41521</v>
      </c>
      <c r="U25" s="298">
        <f>SUM(U26:U35)</f>
        <v>95376</v>
      </c>
      <c r="V25" s="298">
        <f t="shared" ref="V25:W25" si="11">SUM(V26:V35)</f>
        <v>196000</v>
      </c>
      <c r="W25" s="298">
        <f t="shared" si="11"/>
        <v>187400</v>
      </c>
      <c r="X25" s="205"/>
      <c r="AD25" s="225"/>
    </row>
    <row r="26" spans="1:33" ht="38.25" customHeight="1" x14ac:dyDescent="0.25">
      <c r="A26" s="207" t="s">
        <v>144</v>
      </c>
      <c r="B26" s="327" t="s">
        <v>165</v>
      </c>
      <c r="C26" s="210" t="s">
        <v>129</v>
      </c>
      <c r="D26" s="210" t="s">
        <v>44</v>
      </c>
      <c r="E26" s="210" t="s">
        <v>25</v>
      </c>
      <c r="F26" s="303">
        <v>11.7</v>
      </c>
      <c r="G26" s="303"/>
      <c r="H26" s="328">
        <v>7.88</v>
      </c>
      <c r="I26" s="329">
        <v>6</v>
      </c>
      <c r="J26" s="304">
        <f>I26*H26*10000</f>
        <v>472800</v>
      </c>
      <c r="K26" s="330"/>
      <c r="L26" s="213"/>
      <c r="M26" s="213"/>
      <c r="N26" s="213"/>
      <c r="O26" s="330">
        <v>190000</v>
      </c>
      <c r="P26" s="330">
        <v>210200</v>
      </c>
      <c r="Q26" s="331">
        <f>J26-O26-P26</f>
        <v>72600</v>
      </c>
      <c r="R26" s="331">
        <f t="shared" ref="R26:R37" si="12">SUM(S26:W26)</f>
        <v>72600</v>
      </c>
      <c r="S26" s="331"/>
      <c r="T26" s="331"/>
      <c r="U26" s="331"/>
      <c r="V26" s="331"/>
      <c r="W26" s="331">
        <v>72600</v>
      </c>
      <c r="X26" s="212"/>
    </row>
    <row r="27" spans="1:33" ht="38.25" customHeight="1" x14ac:dyDescent="0.25">
      <c r="A27" s="216" t="s">
        <v>145</v>
      </c>
      <c r="B27" s="332" t="s">
        <v>130</v>
      </c>
      <c r="C27" s="219" t="s">
        <v>131</v>
      </c>
      <c r="D27" s="219" t="s">
        <v>29</v>
      </c>
      <c r="E27" s="219" t="s">
        <v>30</v>
      </c>
      <c r="F27" s="333">
        <v>0.23</v>
      </c>
      <c r="G27" s="333">
        <v>0.23</v>
      </c>
      <c r="H27" s="334">
        <f>800/10000</f>
        <v>0.08</v>
      </c>
      <c r="I27" s="335">
        <v>5</v>
      </c>
      <c r="J27" s="171">
        <f>I27*H27*10000</f>
        <v>4000</v>
      </c>
      <c r="K27" s="222"/>
      <c r="L27" s="222"/>
      <c r="M27" s="222"/>
      <c r="N27" s="222"/>
      <c r="O27" s="222"/>
      <c r="P27" s="222"/>
      <c r="Q27" s="171">
        <f t="shared" ref="Q27:Q30" si="13">J27-O27-P27</f>
        <v>4000</v>
      </c>
      <c r="R27" s="171">
        <f t="shared" si="12"/>
        <v>4000</v>
      </c>
      <c r="S27" s="171"/>
      <c r="T27" s="171"/>
      <c r="U27" s="171">
        <v>4000</v>
      </c>
      <c r="V27" s="171"/>
      <c r="W27" s="171"/>
      <c r="X27" s="221"/>
    </row>
    <row r="28" spans="1:33" ht="30" customHeight="1" x14ac:dyDescent="0.25">
      <c r="A28" s="216" t="s">
        <v>146</v>
      </c>
      <c r="B28" s="218" t="s">
        <v>132</v>
      </c>
      <c r="C28" s="219" t="s">
        <v>116</v>
      </c>
      <c r="D28" s="219" t="s">
        <v>27</v>
      </c>
      <c r="E28" s="219" t="s">
        <v>50</v>
      </c>
      <c r="F28" s="333"/>
      <c r="G28" s="333">
        <v>1.89</v>
      </c>
      <c r="H28" s="334">
        <f>12950/10000</f>
        <v>1.2949999999999999</v>
      </c>
      <c r="I28" s="333">
        <v>6</v>
      </c>
      <c r="J28" s="171">
        <f>H28*I28*10000</f>
        <v>77700</v>
      </c>
      <c r="K28" s="222"/>
      <c r="L28" s="222"/>
      <c r="M28" s="222"/>
      <c r="N28" s="222"/>
      <c r="O28" s="222"/>
      <c r="P28" s="222"/>
      <c r="Q28" s="171">
        <f t="shared" si="13"/>
        <v>77700</v>
      </c>
      <c r="R28" s="171">
        <f t="shared" si="12"/>
        <v>77700</v>
      </c>
      <c r="S28" s="171"/>
      <c r="T28" s="171"/>
      <c r="U28" s="171"/>
      <c r="V28" s="171">
        <v>77700</v>
      </c>
      <c r="W28" s="171"/>
      <c r="X28" s="221"/>
    </row>
    <row r="29" spans="1:33" ht="29.25" customHeight="1" x14ac:dyDescent="0.25">
      <c r="A29" s="216" t="s">
        <v>147</v>
      </c>
      <c r="B29" s="218" t="s">
        <v>133</v>
      </c>
      <c r="C29" s="219" t="s">
        <v>134</v>
      </c>
      <c r="D29" s="219" t="s">
        <v>44</v>
      </c>
      <c r="E29" s="219" t="s">
        <v>25</v>
      </c>
      <c r="F29" s="333"/>
      <c r="G29" s="333">
        <v>5.39</v>
      </c>
      <c r="H29" s="334">
        <f>36000/10000</f>
        <v>3.6</v>
      </c>
      <c r="I29" s="335">
        <v>2.5</v>
      </c>
      <c r="J29" s="171">
        <f t="shared" ref="J29:J34" si="14">I29*H29*10000</f>
        <v>90000</v>
      </c>
      <c r="K29" s="333">
        <f>3.60588</f>
        <v>3.60588</v>
      </c>
      <c r="L29" s="222"/>
      <c r="M29" s="222"/>
      <c r="N29" s="222"/>
      <c r="O29" s="336"/>
      <c r="P29" s="336"/>
      <c r="Q29" s="171">
        <f t="shared" si="13"/>
        <v>90000</v>
      </c>
      <c r="R29" s="171">
        <f t="shared" si="12"/>
        <v>90000</v>
      </c>
      <c r="S29" s="171"/>
      <c r="T29" s="171"/>
      <c r="U29" s="171"/>
      <c r="V29" s="171"/>
      <c r="W29" s="171">
        <v>90000</v>
      </c>
      <c r="X29" s="221"/>
    </row>
    <row r="30" spans="1:33" ht="38.25" customHeight="1" x14ac:dyDescent="0.25">
      <c r="A30" s="216" t="s">
        <v>160</v>
      </c>
      <c r="B30" s="218" t="s">
        <v>172</v>
      </c>
      <c r="C30" s="219" t="s">
        <v>116</v>
      </c>
      <c r="D30" s="219" t="s">
        <v>29</v>
      </c>
      <c r="E30" s="219" t="s">
        <v>50</v>
      </c>
      <c r="F30" s="333">
        <v>21.43</v>
      </c>
      <c r="G30" s="333">
        <v>21.43</v>
      </c>
      <c r="H30" s="334">
        <f>16000/10000</f>
        <v>1.6</v>
      </c>
      <c r="I30" s="335">
        <v>5</v>
      </c>
      <c r="J30" s="171">
        <f t="shared" si="14"/>
        <v>80000</v>
      </c>
      <c r="K30" s="222"/>
      <c r="L30" s="222"/>
      <c r="M30" s="222"/>
      <c r="N30" s="222"/>
      <c r="O30" s="336"/>
      <c r="P30" s="336"/>
      <c r="Q30" s="171">
        <f t="shared" si="13"/>
        <v>80000</v>
      </c>
      <c r="R30" s="171">
        <f t="shared" si="12"/>
        <v>80000</v>
      </c>
      <c r="S30" s="171"/>
      <c r="T30" s="171"/>
      <c r="U30" s="171"/>
      <c r="V30" s="171">
        <v>80000</v>
      </c>
      <c r="W30" s="171"/>
      <c r="X30" s="221"/>
    </row>
    <row r="31" spans="1:33" ht="38.25" customHeight="1" x14ac:dyDescent="0.25">
      <c r="A31" s="216" t="s">
        <v>161</v>
      </c>
      <c r="B31" s="337" t="s">
        <v>39</v>
      </c>
      <c r="C31" s="338" t="s">
        <v>135</v>
      </c>
      <c r="D31" s="338" t="s">
        <v>40</v>
      </c>
      <c r="E31" s="338" t="s">
        <v>25</v>
      </c>
      <c r="F31" s="339">
        <v>4.95</v>
      </c>
      <c r="G31" s="339">
        <v>4.95</v>
      </c>
      <c r="H31" s="334">
        <v>3.9</v>
      </c>
      <c r="I31" s="340">
        <v>4</v>
      </c>
      <c r="J31" s="171">
        <f t="shared" si="14"/>
        <v>156000</v>
      </c>
      <c r="K31" s="222">
        <v>4.95</v>
      </c>
      <c r="L31" s="222" t="s">
        <v>136</v>
      </c>
      <c r="M31" s="222"/>
      <c r="N31" s="222"/>
      <c r="O31" s="223">
        <v>80000</v>
      </c>
      <c r="P31" s="341"/>
      <c r="Q31" s="171">
        <f>J31-O31-P31</f>
        <v>76000</v>
      </c>
      <c r="R31" s="171">
        <f t="shared" si="12"/>
        <v>60000</v>
      </c>
      <c r="S31" s="171"/>
      <c r="T31" s="171"/>
      <c r="U31" s="171">
        <v>60000</v>
      </c>
      <c r="V31" s="171"/>
      <c r="W31" s="171"/>
      <c r="X31" s="221"/>
    </row>
    <row r="32" spans="1:33" ht="29.25" customHeight="1" x14ac:dyDescent="0.25">
      <c r="A32" s="216" t="s">
        <v>162</v>
      </c>
      <c r="B32" s="342" t="s">
        <v>137</v>
      </c>
      <c r="C32" s="219" t="s">
        <v>138</v>
      </c>
      <c r="D32" s="219" t="s">
        <v>21</v>
      </c>
      <c r="E32" s="219" t="s">
        <v>25</v>
      </c>
      <c r="F32" s="333">
        <v>5.54</v>
      </c>
      <c r="G32" s="333">
        <v>5.54</v>
      </c>
      <c r="H32" s="334">
        <v>1.64</v>
      </c>
      <c r="I32" s="343">
        <v>7</v>
      </c>
      <c r="J32" s="171">
        <f t="shared" si="14"/>
        <v>114799.99999999999</v>
      </c>
      <c r="K32" s="334">
        <f>48046.7/10000</f>
        <v>4.8046699999999998</v>
      </c>
      <c r="L32" s="222"/>
      <c r="M32" s="222"/>
      <c r="N32" s="222"/>
      <c r="O32" s="223">
        <v>90000</v>
      </c>
      <c r="P32" s="223"/>
      <c r="Q32" s="171">
        <f t="shared" ref="Q32:Q34" si="15">J32-O32-P32</f>
        <v>24799.999999999985</v>
      </c>
      <c r="R32" s="171">
        <f t="shared" si="12"/>
        <v>24800</v>
      </c>
      <c r="S32" s="171"/>
      <c r="T32" s="171"/>
      <c r="U32" s="171"/>
      <c r="V32" s="171"/>
      <c r="W32" s="171">
        <v>24800</v>
      </c>
      <c r="X32" s="221"/>
    </row>
    <row r="33" spans="1:24" s="288" customFormat="1" ht="29.25" customHeight="1" x14ac:dyDescent="0.25">
      <c r="A33" s="216" t="s">
        <v>163</v>
      </c>
      <c r="B33" s="342" t="s">
        <v>139</v>
      </c>
      <c r="C33" s="219" t="s">
        <v>129</v>
      </c>
      <c r="D33" s="219" t="s">
        <v>21</v>
      </c>
      <c r="E33" s="219" t="s">
        <v>25</v>
      </c>
      <c r="F33" s="333" t="s">
        <v>140</v>
      </c>
      <c r="G33" s="333" t="s">
        <v>140</v>
      </c>
      <c r="H33" s="334">
        <f>8000/10000</f>
        <v>0.8</v>
      </c>
      <c r="I33" s="343">
        <v>5</v>
      </c>
      <c r="J33" s="171">
        <f t="shared" si="14"/>
        <v>40000</v>
      </c>
      <c r="K33" s="222">
        <v>7.8</v>
      </c>
      <c r="L33" s="222"/>
      <c r="M33" s="222"/>
      <c r="N33" s="222"/>
      <c r="O33" s="223">
        <v>20000</v>
      </c>
      <c r="P33" s="223">
        <v>15000</v>
      </c>
      <c r="Q33" s="171">
        <f t="shared" si="15"/>
        <v>5000</v>
      </c>
      <c r="R33" s="171">
        <f t="shared" si="12"/>
        <v>5000</v>
      </c>
      <c r="S33" s="171"/>
      <c r="T33" s="171"/>
      <c r="U33" s="171"/>
      <c r="V33" s="171">
        <v>5000</v>
      </c>
      <c r="W33" s="171"/>
      <c r="X33" s="221"/>
    </row>
    <row r="34" spans="1:24" s="288" customFormat="1" ht="52.5" customHeight="1" x14ac:dyDescent="0.25">
      <c r="A34" s="216" t="s">
        <v>164</v>
      </c>
      <c r="B34" s="218" t="s">
        <v>141</v>
      </c>
      <c r="C34" s="219" t="s">
        <v>142</v>
      </c>
      <c r="D34" s="219" t="s">
        <v>143</v>
      </c>
      <c r="E34" s="219" t="s">
        <v>25</v>
      </c>
      <c r="F34" s="333">
        <v>13.2</v>
      </c>
      <c r="G34" s="333">
        <v>13.2</v>
      </c>
      <c r="H34" s="334">
        <f>6000/10000</f>
        <v>0.6</v>
      </c>
      <c r="I34" s="343">
        <v>4</v>
      </c>
      <c r="J34" s="171">
        <f t="shared" si="14"/>
        <v>24000</v>
      </c>
      <c r="K34" s="222">
        <v>13.2</v>
      </c>
      <c r="L34" s="222"/>
      <c r="M34" s="222"/>
      <c r="N34" s="222"/>
      <c r="O34" s="223">
        <v>21225</v>
      </c>
      <c r="P34" s="223"/>
      <c r="Q34" s="171">
        <f t="shared" si="15"/>
        <v>2775</v>
      </c>
      <c r="R34" s="171">
        <f t="shared" si="12"/>
        <v>2775</v>
      </c>
      <c r="S34" s="171"/>
      <c r="T34" s="171"/>
      <c r="U34" s="171"/>
      <c r="V34" s="171">
        <v>2775</v>
      </c>
      <c r="W34" s="171"/>
      <c r="X34" s="221"/>
    </row>
    <row r="35" spans="1:24" s="288" customFormat="1" ht="24.75" customHeight="1" x14ac:dyDescent="0.25">
      <c r="A35" s="216" t="s">
        <v>222</v>
      </c>
      <c r="B35" s="218" t="s">
        <v>261</v>
      </c>
      <c r="C35" s="219"/>
      <c r="D35" s="219"/>
      <c r="E35" s="219"/>
      <c r="F35" s="333"/>
      <c r="G35" s="333"/>
      <c r="H35" s="334"/>
      <c r="I35" s="343"/>
      <c r="J35" s="171"/>
      <c r="K35" s="222"/>
      <c r="L35" s="222"/>
      <c r="M35" s="222"/>
      <c r="N35" s="222"/>
      <c r="O35" s="223"/>
      <c r="P35" s="223"/>
      <c r="Q35" s="171"/>
      <c r="R35" s="171">
        <f t="shared" si="12"/>
        <v>103422</v>
      </c>
      <c r="S35" s="171"/>
      <c r="T35" s="171">
        <v>41521</v>
      </c>
      <c r="U35" s="171">
        <v>31376</v>
      </c>
      <c r="V35" s="171">
        <v>30525</v>
      </c>
      <c r="W35" s="171"/>
      <c r="X35" s="221"/>
    </row>
    <row r="36" spans="1:24" s="293" customFormat="1" ht="23.25" customHeight="1" x14ac:dyDescent="0.25">
      <c r="A36" s="197">
        <v>2</v>
      </c>
      <c r="B36" s="324" t="s">
        <v>112</v>
      </c>
      <c r="C36" s="325"/>
      <c r="D36" s="326"/>
      <c r="E36" s="197"/>
      <c r="F36" s="344">
        <f t="shared" ref="F36:P36" si="16">SUM(F37:F37)</f>
        <v>3.09</v>
      </c>
      <c r="G36" s="344">
        <f t="shared" si="16"/>
        <v>0.45850000000000002</v>
      </c>
      <c r="H36" s="344">
        <f t="shared" si="16"/>
        <v>3.09</v>
      </c>
      <c r="I36" s="344"/>
      <c r="J36" s="344">
        <f t="shared" si="16"/>
        <v>77250</v>
      </c>
      <c r="K36" s="344">
        <f t="shared" si="16"/>
        <v>3.09</v>
      </c>
      <c r="L36" s="344">
        <f t="shared" si="16"/>
        <v>0</v>
      </c>
      <c r="M36" s="344">
        <f t="shared" si="16"/>
        <v>0</v>
      </c>
      <c r="N36" s="344">
        <f t="shared" si="16"/>
        <v>0</v>
      </c>
      <c r="O36" s="344">
        <f t="shared" si="16"/>
        <v>7568</v>
      </c>
      <c r="P36" s="344">
        <f t="shared" si="16"/>
        <v>47699</v>
      </c>
      <c r="Q36" s="298">
        <f>SUM(Q37:Q39)</f>
        <v>32882</v>
      </c>
      <c r="R36" s="298">
        <f>SUM(R37:R39)</f>
        <v>37790</v>
      </c>
      <c r="S36" s="298">
        <f>SUM(S37:S39)</f>
        <v>16790</v>
      </c>
      <c r="T36" s="298">
        <f>SUM(T37:T39)</f>
        <v>0</v>
      </c>
      <c r="U36" s="298">
        <f t="shared" ref="U36:W36" si="17">SUM(U37:U39)</f>
        <v>0</v>
      </c>
      <c r="V36" s="298">
        <f>SUM(V37:V39)</f>
        <v>21000</v>
      </c>
      <c r="W36" s="298">
        <f t="shared" si="17"/>
        <v>0</v>
      </c>
      <c r="X36" s="205"/>
    </row>
    <row r="37" spans="1:24" ht="54" customHeight="1" x14ac:dyDescent="0.25">
      <c r="A37" s="345" t="s">
        <v>151</v>
      </c>
      <c r="B37" s="346" t="s">
        <v>152</v>
      </c>
      <c r="C37" s="200" t="s">
        <v>142</v>
      </c>
      <c r="D37" s="200" t="s">
        <v>55</v>
      </c>
      <c r="E37" s="200" t="s">
        <v>153</v>
      </c>
      <c r="F37" s="347">
        <v>3.09</v>
      </c>
      <c r="G37" s="347">
        <v>0.45850000000000002</v>
      </c>
      <c r="H37" s="347">
        <v>3.09</v>
      </c>
      <c r="I37" s="348">
        <v>2.5</v>
      </c>
      <c r="J37" s="348">
        <f>H37*I37*10000</f>
        <v>77250</v>
      </c>
      <c r="K37" s="347">
        <v>3.09</v>
      </c>
      <c r="L37" s="203"/>
      <c r="M37" s="203"/>
      <c r="N37" s="203"/>
      <c r="O37" s="348">
        <v>7568</v>
      </c>
      <c r="P37" s="348">
        <v>47699</v>
      </c>
      <c r="Q37" s="349">
        <f>J37-O37-P37</f>
        <v>21983</v>
      </c>
      <c r="R37" s="349">
        <f t="shared" si="12"/>
        <v>21000</v>
      </c>
      <c r="S37" s="349"/>
      <c r="T37" s="349"/>
      <c r="U37" s="349"/>
      <c r="V37" s="349">
        <v>21000</v>
      </c>
      <c r="W37" s="349"/>
      <c r="X37" s="350"/>
    </row>
    <row r="38" spans="1:24" ht="47.25" hidden="1" x14ac:dyDescent="0.25">
      <c r="A38" s="351" t="s">
        <v>223</v>
      </c>
      <c r="B38" s="352" t="s">
        <v>149</v>
      </c>
      <c r="C38" s="353" t="s">
        <v>150</v>
      </c>
      <c r="D38" s="354" t="s">
        <v>55</v>
      </c>
      <c r="E38" s="353" t="s">
        <v>25</v>
      </c>
      <c r="F38" s="355">
        <v>2.2128999999999999</v>
      </c>
      <c r="G38" s="355">
        <v>0.12372000000000001</v>
      </c>
      <c r="H38" s="355">
        <v>1.19</v>
      </c>
      <c r="I38" s="355">
        <v>2.4</v>
      </c>
      <c r="J38" s="331">
        <v>28560</v>
      </c>
      <c r="K38" s="355">
        <v>2.21</v>
      </c>
      <c r="L38" s="356"/>
      <c r="M38" s="356"/>
      <c r="N38" s="356"/>
      <c r="O38" s="357">
        <v>8600</v>
      </c>
      <c r="P38" s="357">
        <v>9061</v>
      </c>
      <c r="Q38" s="331">
        <v>10899</v>
      </c>
      <c r="R38" s="331"/>
      <c r="S38" s="331"/>
      <c r="T38" s="331"/>
      <c r="U38" s="331"/>
      <c r="V38" s="331"/>
      <c r="W38" s="331"/>
      <c r="X38" s="358" t="s">
        <v>218</v>
      </c>
    </row>
    <row r="39" spans="1:24" ht="28.5" hidden="1" customHeight="1" x14ac:dyDescent="0.25">
      <c r="A39" s="260" t="s">
        <v>257</v>
      </c>
      <c r="B39" s="306" t="s">
        <v>224</v>
      </c>
      <c r="C39" s="263"/>
      <c r="D39" s="263"/>
      <c r="E39" s="263"/>
      <c r="F39" s="307"/>
      <c r="G39" s="307"/>
      <c r="H39" s="359"/>
      <c r="I39" s="360"/>
      <c r="J39" s="308"/>
      <c r="K39" s="266"/>
      <c r="L39" s="266"/>
      <c r="M39" s="266"/>
      <c r="N39" s="266"/>
      <c r="O39" s="267"/>
      <c r="P39" s="267"/>
      <c r="Q39" s="361"/>
      <c r="R39" s="361">
        <f t="shared" ref="R39" si="18">SUM(S39:W39)</f>
        <v>16790</v>
      </c>
      <c r="S39" s="361">
        <v>16790</v>
      </c>
      <c r="T39" s="361"/>
      <c r="U39" s="361"/>
      <c r="V39" s="361"/>
      <c r="W39" s="361"/>
      <c r="X39" s="265"/>
    </row>
    <row r="40" spans="1:24" s="293" customFormat="1" ht="38.25" hidden="1" customHeight="1" x14ac:dyDescent="0.25">
      <c r="B40" s="293" t="s">
        <v>102</v>
      </c>
      <c r="D40" s="362"/>
      <c r="J40" s="363"/>
      <c r="K40" s="364"/>
      <c r="L40" s="364"/>
      <c r="M40" s="364"/>
      <c r="N40" s="364"/>
      <c r="O40" s="364"/>
      <c r="Q40" s="365"/>
      <c r="R40" s="365"/>
      <c r="S40" s="362"/>
      <c r="T40" s="362"/>
      <c r="U40" s="362"/>
      <c r="V40" s="366"/>
      <c r="W40" s="362"/>
    </row>
    <row r="41" spans="1:24" ht="41.25" hidden="1" customHeight="1" x14ac:dyDescent="0.25">
      <c r="B41" s="384" t="s">
        <v>103</v>
      </c>
      <c r="C41" s="384"/>
      <c r="D41" s="384"/>
      <c r="E41" s="384"/>
      <c r="F41" s="384"/>
      <c r="G41" s="384"/>
      <c r="H41" s="384"/>
      <c r="I41" s="384"/>
      <c r="J41" s="384"/>
      <c r="K41" s="384"/>
      <c r="L41" s="384"/>
      <c r="M41" s="384"/>
      <c r="N41" s="384"/>
      <c r="O41" s="384"/>
      <c r="P41" s="384"/>
      <c r="Q41" s="384"/>
      <c r="R41" s="384"/>
      <c r="S41" s="384"/>
      <c r="T41" s="384"/>
      <c r="U41" s="384"/>
      <c r="V41" s="384"/>
      <c r="W41" s="384"/>
      <c r="X41" s="384"/>
    </row>
    <row r="42" spans="1:24" x14ac:dyDescent="0.25">
      <c r="W42" s="370"/>
    </row>
  </sheetData>
  <mergeCells count="17">
    <mergeCell ref="B41:X41"/>
    <mergeCell ref="Q4:Q5"/>
    <mergeCell ref="A3:Q3"/>
    <mergeCell ref="A4:A5"/>
    <mergeCell ref="B4:B5"/>
    <mergeCell ref="D4:D5"/>
    <mergeCell ref="E4:G4"/>
    <mergeCell ref="C4:C5"/>
    <mergeCell ref="X4:X5"/>
    <mergeCell ref="A1:X1"/>
    <mergeCell ref="R4:R5"/>
    <mergeCell ref="H4:H5"/>
    <mergeCell ref="I4:I5"/>
    <mergeCell ref="J4:J5"/>
    <mergeCell ref="K4:P4"/>
    <mergeCell ref="A2:X2"/>
    <mergeCell ref="V4:V5"/>
  </mergeCells>
  <conditionalFormatting sqref="B26">
    <cfRule type="duplicateValues" priority="6" stopIfTrue="1"/>
  </conditionalFormatting>
  <conditionalFormatting sqref="B32:B33">
    <cfRule type="duplicateValues" priority="5" stopIfTrue="1"/>
  </conditionalFormatting>
  <conditionalFormatting sqref="B15:B20">
    <cfRule type="expression" dxfId="0" priority="4" stopIfTrue="1">
      <formula>AND(COUNTIF(#REF!, B15)&gt;1,NOT(ISBLANK(B15)))</formula>
    </cfRule>
  </conditionalFormatting>
  <conditionalFormatting sqref="B27:B30">
    <cfRule type="duplicateValues" priority="118" stopIfTrue="1"/>
  </conditionalFormatting>
  <pageMargins left="0.78740157480314965" right="0.39370078740157483" top="0.62992125984251968" bottom="0.78740157480314965" header="0.31496062992125984" footer="0.31496062992125984"/>
  <pageSetup paperSize="9" scale="68" firstPageNumber="11" orientation="portrait" useFirstPageNumber="1" verticalDpi="4294967295" r:id="rId1"/>
  <headerFooter>
    <oddHeader>&amp;C&amp;P&amp;R&amp;"Times New Roman,Italic"&amp;14Biểu số 01</oddHeader>
  </headerFooter>
  <colBreaks count="1" manualBreakCount="1">
    <brk id="2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0"/>
  <sheetViews>
    <sheetView tabSelected="1" view="pageLayout" zoomScaleNormal="100" zoomScaleSheetLayoutView="85" workbookViewId="0">
      <selection activeCell="A3" sqref="A3:J3"/>
    </sheetView>
  </sheetViews>
  <sheetFormatPr defaultRowHeight="15" x14ac:dyDescent="0.25"/>
  <cols>
    <col min="1" max="1" width="4.5" style="235" bestFit="1" customWidth="1"/>
    <col min="2" max="2" width="46.875" style="113" customWidth="1"/>
    <col min="3" max="3" width="13.75" style="236" hidden="1" customWidth="1"/>
    <col min="4" max="4" width="9.875" style="236" hidden="1" customWidth="1"/>
    <col min="5" max="5" width="10.75" style="236" hidden="1" customWidth="1"/>
    <col min="6" max="6" width="10.625" style="236" customWidth="1"/>
    <col min="7" max="7" width="9.75" style="236" hidden="1" customWidth="1"/>
    <col min="8" max="8" width="12.25" style="236" bestFit="1" customWidth="1"/>
    <col min="9" max="9" width="12.25" style="236" hidden="1" customWidth="1"/>
    <col min="10" max="10" width="18.625" style="113" customWidth="1"/>
    <col min="11" max="11" width="0" style="113" hidden="1" customWidth="1"/>
    <col min="12" max="249" width="9" style="113"/>
    <col min="250" max="250" width="4.5" style="113" bestFit="1" customWidth="1"/>
    <col min="251" max="251" width="46.875" style="113" customWidth="1"/>
    <col min="252" max="252" width="13" style="113" customWidth="1"/>
    <col min="253" max="254" width="9.875" style="113" bestFit="1" customWidth="1"/>
    <col min="255" max="255" width="9.625" style="113" customWidth="1"/>
    <col min="256" max="256" width="12.625" style="113" customWidth="1"/>
    <col min="257" max="257" width="10.5" style="113" customWidth="1"/>
    <col min="258" max="258" width="6.125" style="113" customWidth="1"/>
    <col min="259" max="505" width="9" style="113"/>
    <col min="506" max="506" width="4.5" style="113" bestFit="1" customWidth="1"/>
    <col min="507" max="507" width="46.875" style="113" customWidth="1"/>
    <col min="508" max="508" width="13" style="113" customWidth="1"/>
    <col min="509" max="510" width="9.875" style="113" bestFit="1" customWidth="1"/>
    <col min="511" max="511" width="9.625" style="113" customWidth="1"/>
    <col min="512" max="512" width="12.625" style="113" customWidth="1"/>
    <col min="513" max="513" width="10.5" style="113" customWidth="1"/>
    <col min="514" max="514" width="6.125" style="113" customWidth="1"/>
    <col min="515" max="761" width="9" style="113"/>
    <col min="762" max="762" width="4.5" style="113" bestFit="1" customWidth="1"/>
    <col min="763" max="763" width="46.875" style="113" customWidth="1"/>
    <col min="764" max="764" width="13" style="113" customWidth="1"/>
    <col min="765" max="766" width="9.875" style="113" bestFit="1" customWidth="1"/>
    <col min="767" max="767" width="9.625" style="113" customWidth="1"/>
    <col min="768" max="768" width="12.625" style="113" customWidth="1"/>
    <col min="769" max="769" width="10.5" style="113" customWidth="1"/>
    <col min="770" max="770" width="6.125" style="113" customWidth="1"/>
    <col min="771" max="1017" width="9" style="113"/>
    <col min="1018" max="1018" width="4.5" style="113" bestFit="1" customWidth="1"/>
    <col min="1019" max="1019" width="46.875" style="113" customWidth="1"/>
    <col min="1020" max="1020" width="13" style="113" customWidth="1"/>
    <col min="1021" max="1022" width="9.875" style="113" bestFit="1" customWidth="1"/>
    <col min="1023" max="1023" width="9.625" style="113" customWidth="1"/>
    <col min="1024" max="1024" width="12.625" style="113" customWidth="1"/>
    <col min="1025" max="1025" width="10.5" style="113" customWidth="1"/>
    <col min="1026" max="1026" width="6.125" style="113" customWidth="1"/>
    <col min="1027" max="1273" width="9" style="113"/>
    <col min="1274" max="1274" width="4.5" style="113" bestFit="1" customWidth="1"/>
    <col min="1275" max="1275" width="46.875" style="113" customWidth="1"/>
    <col min="1276" max="1276" width="13" style="113" customWidth="1"/>
    <col min="1277" max="1278" width="9.875" style="113" bestFit="1" customWidth="1"/>
    <col min="1279" max="1279" width="9.625" style="113" customWidth="1"/>
    <col min="1280" max="1280" width="12.625" style="113" customWidth="1"/>
    <col min="1281" max="1281" width="10.5" style="113" customWidth="1"/>
    <col min="1282" max="1282" width="6.125" style="113" customWidth="1"/>
    <col min="1283" max="1529" width="9" style="113"/>
    <col min="1530" max="1530" width="4.5" style="113" bestFit="1" customWidth="1"/>
    <col min="1531" max="1531" width="46.875" style="113" customWidth="1"/>
    <col min="1532" max="1532" width="13" style="113" customWidth="1"/>
    <col min="1533" max="1534" width="9.875" style="113" bestFit="1" customWidth="1"/>
    <col min="1535" max="1535" width="9.625" style="113" customWidth="1"/>
    <col min="1536" max="1536" width="12.625" style="113" customWidth="1"/>
    <col min="1537" max="1537" width="10.5" style="113" customWidth="1"/>
    <col min="1538" max="1538" width="6.125" style="113" customWidth="1"/>
    <col min="1539" max="1785" width="9" style="113"/>
    <col min="1786" max="1786" width="4.5" style="113" bestFit="1" customWidth="1"/>
    <col min="1787" max="1787" width="46.875" style="113" customWidth="1"/>
    <col min="1788" max="1788" width="13" style="113" customWidth="1"/>
    <col min="1789" max="1790" width="9.875" style="113" bestFit="1" customWidth="1"/>
    <col min="1791" max="1791" width="9.625" style="113" customWidth="1"/>
    <col min="1792" max="1792" width="12.625" style="113" customWidth="1"/>
    <col min="1793" max="1793" width="10.5" style="113" customWidth="1"/>
    <col min="1794" max="1794" width="6.125" style="113" customWidth="1"/>
    <col min="1795" max="2041" width="9" style="113"/>
    <col min="2042" max="2042" width="4.5" style="113" bestFit="1" customWidth="1"/>
    <col min="2043" max="2043" width="46.875" style="113" customWidth="1"/>
    <col min="2044" max="2044" width="13" style="113" customWidth="1"/>
    <col min="2045" max="2046" width="9.875" style="113" bestFit="1" customWidth="1"/>
    <col min="2047" max="2047" width="9.625" style="113" customWidth="1"/>
    <col min="2048" max="2048" width="12.625" style="113" customWidth="1"/>
    <col min="2049" max="2049" width="10.5" style="113" customWidth="1"/>
    <col min="2050" max="2050" width="6.125" style="113" customWidth="1"/>
    <col min="2051" max="2297" width="9" style="113"/>
    <col min="2298" max="2298" width="4.5" style="113" bestFit="1" customWidth="1"/>
    <col min="2299" max="2299" width="46.875" style="113" customWidth="1"/>
    <col min="2300" max="2300" width="13" style="113" customWidth="1"/>
    <col min="2301" max="2302" width="9.875" style="113" bestFit="1" customWidth="1"/>
    <col min="2303" max="2303" width="9.625" style="113" customWidth="1"/>
    <col min="2304" max="2304" width="12.625" style="113" customWidth="1"/>
    <col min="2305" max="2305" width="10.5" style="113" customWidth="1"/>
    <col min="2306" max="2306" width="6.125" style="113" customWidth="1"/>
    <col min="2307" max="2553" width="9" style="113"/>
    <col min="2554" max="2554" width="4.5" style="113" bestFit="1" customWidth="1"/>
    <col min="2555" max="2555" width="46.875" style="113" customWidth="1"/>
    <col min="2556" max="2556" width="13" style="113" customWidth="1"/>
    <col min="2557" max="2558" width="9.875" style="113" bestFit="1" customWidth="1"/>
    <col min="2559" max="2559" width="9.625" style="113" customWidth="1"/>
    <col min="2560" max="2560" width="12.625" style="113" customWidth="1"/>
    <col min="2561" max="2561" width="10.5" style="113" customWidth="1"/>
    <col min="2562" max="2562" width="6.125" style="113" customWidth="1"/>
    <col min="2563" max="2809" width="9" style="113"/>
    <col min="2810" max="2810" width="4.5" style="113" bestFit="1" customWidth="1"/>
    <col min="2811" max="2811" width="46.875" style="113" customWidth="1"/>
    <col min="2812" max="2812" width="13" style="113" customWidth="1"/>
    <col min="2813" max="2814" width="9.875" style="113" bestFit="1" customWidth="1"/>
    <col min="2815" max="2815" width="9.625" style="113" customWidth="1"/>
    <col min="2816" max="2816" width="12.625" style="113" customWidth="1"/>
    <col min="2817" max="2817" width="10.5" style="113" customWidth="1"/>
    <col min="2818" max="2818" width="6.125" style="113" customWidth="1"/>
    <col min="2819" max="3065" width="9" style="113"/>
    <col min="3066" max="3066" width="4.5" style="113" bestFit="1" customWidth="1"/>
    <col min="3067" max="3067" width="46.875" style="113" customWidth="1"/>
    <col min="3068" max="3068" width="13" style="113" customWidth="1"/>
    <col min="3069" max="3070" width="9.875" style="113" bestFit="1" customWidth="1"/>
    <col min="3071" max="3071" width="9.625" style="113" customWidth="1"/>
    <col min="3072" max="3072" width="12.625" style="113" customWidth="1"/>
    <col min="3073" max="3073" width="10.5" style="113" customWidth="1"/>
    <col min="3074" max="3074" width="6.125" style="113" customWidth="1"/>
    <col min="3075" max="3321" width="9" style="113"/>
    <col min="3322" max="3322" width="4.5" style="113" bestFit="1" customWidth="1"/>
    <col min="3323" max="3323" width="46.875" style="113" customWidth="1"/>
    <col min="3324" max="3324" width="13" style="113" customWidth="1"/>
    <col min="3325" max="3326" width="9.875" style="113" bestFit="1" customWidth="1"/>
    <col min="3327" max="3327" width="9.625" style="113" customWidth="1"/>
    <col min="3328" max="3328" width="12.625" style="113" customWidth="1"/>
    <col min="3329" max="3329" width="10.5" style="113" customWidth="1"/>
    <col min="3330" max="3330" width="6.125" style="113" customWidth="1"/>
    <col min="3331" max="3577" width="9" style="113"/>
    <col min="3578" max="3578" width="4.5" style="113" bestFit="1" customWidth="1"/>
    <col min="3579" max="3579" width="46.875" style="113" customWidth="1"/>
    <col min="3580" max="3580" width="13" style="113" customWidth="1"/>
    <col min="3581" max="3582" width="9.875" style="113" bestFit="1" customWidth="1"/>
    <col min="3583" max="3583" width="9.625" style="113" customWidth="1"/>
    <col min="3584" max="3584" width="12.625" style="113" customWidth="1"/>
    <col min="3585" max="3585" width="10.5" style="113" customWidth="1"/>
    <col min="3586" max="3586" width="6.125" style="113" customWidth="1"/>
    <col min="3587" max="3833" width="9" style="113"/>
    <col min="3834" max="3834" width="4.5" style="113" bestFit="1" customWidth="1"/>
    <col min="3835" max="3835" width="46.875" style="113" customWidth="1"/>
    <col min="3836" max="3836" width="13" style="113" customWidth="1"/>
    <col min="3837" max="3838" width="9.875" style="113" bestFit="1" customWidth="1"/>
    <col min="3839" max="3839" width="9.625" style="113" customWidth="1"/>
    <col min="3840" max="3840" width="12.625" style="113" customWidth="1"/>
    <col min="3841" max="3841" width="10.5" style="113" customWidth="1"/>
    <col min="3842" max="3842" width="6.125" style="113" customWidth="1"/>
    <col min="3843" max="4089" width="9" style="113"/>
    <col min="4090" max="4090" width="4.5" style="113" bestFit="1" customWidth="1"/>
    <col min="4091" max="4091" width="46.875" style="113" customWidth="1"/>
    <col min="4092" max="4092" width="13" style="113" customWidth="1"/>
    <col min="4093" max="4094" width="9.875" style="113" bestFit="1" customWidth="1"/>
    <col min="4095" max="4095" width="9.625" style="113" customWidth="1"/>
    <col min="4096" max="4096" width="12.625" style="113" customWidth="1"/>
    <col min="4097" max="4097" width="10.5" style="113" customWidth="1"/>
    <col min="4098" max="4098" width="6.125" style="113" customWidth="1"/>
    <col min="4099" max="4345" width="9" style="113"/>
    <col min="4346" max="4346" width="4.5" style="113" bestFit="1" customWidth="1"/>
    <col min="4347" max="4347" width="46.875" style="113" customWidth="1"/>
    <col min="4348" max="4348" width="13" style="113" customWidth="1"/>
    <col min="4349" max="4350" width="9.875" style="113" bestFit="1" customWidth="1"/>
    <col min="4351" max="4351" width="9.625" style="113" customWidth="1"/>
    <col min="4352" max="4352" width="12.625" style="113" customWidth="1"/>
    <col min="4353" max="4353" width="10.5" style="113" customWidth="1"/>
    <col min="4354" max="4354" width="6.125" style="113" customWidth="1"/>
    <col min="4355" max="4601" width="9" style="113"/>
    <col min="4602" max="4602" width="4.5" style="113" bestFit="1" customWidth="1"/>
    <col min="4603" max="4603" width="46.875" style="113" customWidth="1"/>
    <col min="4604" max="4604" width="13" style="113" customWidth="1"/>
    <col min="4605" max="4606" width="9.875" style="113" bestFit="1" customWidth="1"/>
    <col min="4607" max="4607" width="9.625" style="113" customWidth="1"/>
    <col min="4608" max="4608" width="12.625" style="113" customWidth="1"/>
    <col min="4609" max="4609" width="10.5" style="113" customWidth="1"/>
    <col min="4610" max="4610" width="6.125" style="113" customWidth="1"/>
    <col min="4611" max="4857" width="9" style="113"/>
    <col min="4858" max="4858" width="4.5" style="113" bestFit="1" customWidth="1"/>
    <col min="4859" max="4859" width="46.875" style="113" customWidth="1"/>
    <col min="4860" max="4860" width="13" style="113" customWidth="1"/>
    <col min="4861" max="4862" width="9.875" style="113" bestFit="1" customWidth="1"/>
    <col min="4863" max="4863" width="9.625" style="113" customWidth="1"/>
    <col min="4864" max="4864" width="12.625" style="113" customWidth="1"/>
    <col min="4865" max="4865" width="10.5" style="113" customWidth="1"/>
    <col min="4866" max="4866" width="6.125" style="113" customWidth="1"/>
    <col min="4867" max="5113" width="9" style="113"/>
    <col min="5114" max="5114" width="4.5" style="113" bestFit="1" customWidth="1"/>
    <col min="5115" max="5115" width="46.875" style="113" customWidth="1"/>
    <col min="5116" max="5116" width="13" style="113" customWidth="1"/>
    <col min="5117" max="5118" width="9.875" style="113" bestFit="1" customWidth="1"/>
    <col min="5119" max="5119" width="9.625" style="113" customWidth="1"/>
    <col min="5120" max="5120" width="12.625" style="113" customWidth="1"/>
    <col min="5121" max="5121" width="10.5" style="113" customWidth="1"/>
    <col min="5122" max="5122" width="6.125" style="113" customWidth="1"/>
    <col min="5123" max="5369" width="9" style="113"/>
    <col min="5370" max="5370" width="4.5" style="113" bestFit="1" customWidth="1"/>
    <col min="5371" max="5371" width="46.875" style="113" customWidth="1"/>
    <col min="5372" max="5372" width="13" style="113" customWidth="1"/>
    <col min="5373" max="5374" width="9.875" style="113" bestFit="1" customWidth="1"/>
    <col min="5375" max="5375" width="9.625" style="113" customWidth="1"/>
    <col min="5376" max="5376" width="12.625" style="113" customWidth="1"/>
    <col min="5377" max="5377" width="10.5" style="113" customWidth="1"/>
    <col min="5378" max="5378" width="6.125" style="113" customWidth="1"/>
    <col min="5379" max="5625" width="9" style="113"/>
    <col min="5626" max="5626" width="4.5" style="113" bestFit="1" customWidth="1"/>
    <col min="5627" max="5627" width="46.875" style="113" customWidth="1"/>
    <col min="5628" max="5628" width="13" style="113" customWidth="1"/>
    <col min="5629" max="5630" width="9.875" style="113" bestFit="1" customWidth="1"/>
    <col min="5631" max="5631" width="9.625" style="113" customWidth="1"/>
    <col min="5632" max="5632" width="12.625" style="113" customWidth="1"/>
    <col min="5633" max="5633" width="10.5" style="113" customWidth="1"/>
    <col min="5634" max="5634" width="6.125" style="113" customWidth="1"/>
    <col min="5635" max="5881" width="9" style="113"/>
    <col min="5882" max="5882" width="4.5" style="113" bestFit="1" customWidth="1"/>
    <col min="5883" max="5883" width="46.875" style="113" customWidth="1"/>
    <col min="5884" max="5884" width="13" style="113" customWidth="1"/>
    <col min="5885" max="5886" width="9.875" style="113" bestFit="1" customWidth="1"/>
    <col min="5887" max="5887" width="9.625" style="113" customWidth="1"/>
    <col min="5888" max="5888" width="12.625" style="113" customWidth="1"/>
    <col min="5889" max="5889" width="10.5" style="113" customWidth="1"/>
    <col min="5890" max="5890" width="6.125" style="113" customWidth="1"/>
    <col min="5891" max="6137" width="9" style="113"/>
    <col min="6138" max="6138" width="4.5" style="113" bestFit="1" customWidth="1"/>
    <col min="6139" max="6139" width="46.875" style="113" customWidth="1"/>
    <col min="6140" max="6140" width="13" style="113" customWidth="1"/>
    <col min="6141" max="6142" width="9.875" style="113" bestFit="1" customWidth="1"/>
    <col min="6143" max="6143" width="9.625" style="113" customWidth="1"/>
    <col min="6144" max="6144" width="12.625" style="113" customWidth="1"/>
    <col min="6145" max="6145" width="10.5" style="113" customWidth="1"/>
    <col min="6146" max="6146" width="6.125" style="113" customWidth="1"/>
    <col min="6147" max="6393" width="9" style="113"/>
    <col min="6394" max="6394" width="4.5" style="113" bestFit="1" customWidth="1"/>
    <col min="6395" max="6395" width="46.875" style="113" customWidth="1"/>
    <col min="6396" max="6396" width="13" style="113" customWidth="1"/>
    <col min="6397" max="6398" width="9.875" style="113" bestFit="1" customWidth="1"/>
    <col min="6399" max="6399" width="9.625" style="113" customWidth="1"/>
    <col min="6400" max="6400" width="12.625" style="113" customWidth="1"/>
    <col min="6401" max="6401" width="10.5" style="113" customWidth="1"/>
    <col min="6402" max="6402" width="6.125" style="113" customWidth="1"/>
    <col min="6403" max="6649" width="9" style="113"/>
    <col min="6650" max="6650" width="4.5" style="113" bestFit="1" customWidth="1"/>
    <col min="6651" max="6651" width="46.875" style="113" customWidth="1"/>
    <col min="6652" max="6652" width="13" style="113" customWidth="1"/>
    <col min="6653" max="6654" width="9.875" style="113" bestFit="1" customWidth="1"/>
    <col min="6655" max="6655" width="9.625" style="113" customWidth="1"/>
    <col min="6656" max="6656" width="12.625" style="113" customWidth="1"/>
    <col min="6657" max="6657" width="10.5" style="113" customWidth="1"/>
    <col min="6658" max="6658" width="6.125" style="113" customWidth="1"/>
    <col min="6659" max="6905" width="9" style="113"/>
    <col min="6906" max="6906" width="4.5" style="113" bestFit="1" customWidth="1"/>
    <col min="6907" max="6907" width="46.875" style="113" customWidth="1"/>
    <col min="6908" max="6908" width="13" style="113" customWidth="1"/>
    <col min="6909" max="6910" width="9.875" style="113" bestFit="1" customWidth="1"/>
    <col min="6911" max="6911" width="9.625" style="113" customWidth="1"/>
    <col min="6912" max="6912" width="12.625" style="113" customWidth="1"/>
    <col min="6913" max="6913" width="10.5" style="113" customWidth="1"/>
    <col min="6914" max="6914" width="6.125" style="113" customWidth="1"/>
    <col min="6915" max="7161" width="9" style="113"/>
    <col min="7162" max="7162" width="4.5" style="113" bestFit="1" customWidth="1"/>
    <col min="7163" max="7163" width="46.875" style="113" customWidth="1"/>
    <col min="7164" max="7164" width="13" style="113" customWidth="1"/>
    <col min="7165" max="7166" width="9.875" style="113" bestFit="1" customWidth="1"/>
    <col min="7167" max="7167" width="9.625" style="113" customWidth="1"/>
    <col min="7168" max="7168" width="12.625" style="113" customWidth="1"/>
    <col min="7169" max="7169" width="10.5" style="113" customWidth="1"/>
    <col min="7170" max="7170" width="6.125" style="113" customWidth="1"/>
    <col min="7171" max="7417" width="9" style="113"/>
    <col min="7418" max="7418" width="4.5" style="113" bestFit="1" customWidth="1"/>
    <col min="7419" max="7419" width="46.875" style="113" customWidth="1"/>
    <col min="7420" max="7420" width="13" style="113" customWidth="1"/>
    <col min="7421" max="7422" width="9.875" style="113" bestFit="1" customWidth="1"/>
    <col min="7423" max="7423" width="9.625" style="113" customWidth="1"/>
    <col min="7424" max="7424" width="12.625" style="113" customWidth="1"/>
    <col min="7425" max="7425" width="10.5" style="113" customWidth="1"/>
    <col min="7426" max="7426" width="6.125" style="113" customWidth="1"/>
    <col min="7427" max="7673" width="9" style="113"/>
    <col min="7674" max="7674" width="4.5" style="113" bestFit="1" customWidth="1"/>
    <col min="7675" max="7675" width="46.875" style="113" customWidth="1"/>
    <col min="7676" max="7676" width="13" style="113" customWidth="1"/>
    <col min="7677" max="7678" width="9.875" style="113" bestFit="1" customWidth="1"/>
    <col min="7679" max="7679" width="9.625" style="113" customWidth="1"/>
    <col min="7680" max="7680" width="12.625" style="113" customWidth="1"/>
    <col min="7681" max="7681" width="10.5" style="113" customWidth="1"/>
    <col min="7682" max="7682" width="6.125" style="113" customWidth="1"/>
    <col min="7683" max="7929" width="9" style="113"/>
    <col min="7930" max="7930" width="4.5" style="113" bestFit="1" customWidth="1"/>
    <col min="7931" max="7931" width="46.875" style="113" customWidth="1"/>
    <col min="7932" max="7932" width="13" style="113" customWidth="1"/>
    <col min="7933" max="7934" width="9.875" style="113" bestFit="1" customWidth="1"/>
    <col min="7935" max="7935" width="9.625" style="113" customWidth="1"/>
    <col min="7936" max="7936" width="12.625" style="113" customWidth="1"/>
    <col min="7937" max="7937" width="10.5" style="113" customWidth="1"/>
    <col min="7938" max="7938" width="6.125" style="113" customWidth="1"/>
    <col min="7939" max="8185" width="9" style="113"/>
    <col min="8186" max="8186" width="4.5" style="113" bestFit="1" customWidth="1"/>
    <col min="8187" max="8187" width="46.875" style="113" customWidth="1"/>
    <col min="8188" max="8188" width="13" style="113" customWidth="1"/>
    <col min="8189" max="8190" width="9.875" style="113" bestFit="1" customWidth="1"/>
    <col min="8191" max="8191" width="9.625" style="113" customWidth="1"/>
    <col min="8192" max="8192" width="12.625" style="113" customWidth="1"/>
    <col min="8193" max="8193" width="10.5" style="113" customWidth="1"/>
    <col min="8194" max="8194" width="6.125" style="113" customWidth="1"/>
    <col min="8195" max="8441" width="9" style="113"/>
    <col min="8442" max="8442" width="4.5" style="113" bestFit="1" customWidth="1"/>
    <col min="8443" max="8443" width="46.875" style="113" customWidth="1"/>
    <col min="8444" max="8444" width="13" style="113" customWidth="1"/>
    <col min="8445" max="8446" width="9.875" style="113" bestFit="1" customWidth="1"/>
    <col min="8447" max="8447" width="9.625" style="113" customWidth="1"/>
    <col min="8448" max="8448" width="12.625" style="113" customWidth="1"/>
    <col min="8449" max="8449" width="10.5" style="113" customWidth="1"/>
    <col min="8450" max="8450" width="6.125" style="113" customWidth="1"/>
    <col min="8451" max="8697" width="9" style="113"/>
    <col min="8698" max="8698" width="4.5" style="113" bestFit="1" customWidth="1"/>
    <col min="8699" max="8699" width="46.875" style="113" customWidth="1"/>
    <col min="8700" max="8700" width="13" style="113" customWidth="1"/>
    <col min="8701" max="8702" width="9.875" style="113" bestFit="1" customWidth="1"/>
    <col min="8703" max="8703" width="9.625" style="113" customWidth="1"/>
    <col min="8704" max="8704" width="12.625" style="113" customWidth="1"/>
    <col min="8705" max="8705" width="10.5" style="113" customWidth="1"/>
    <col min="8706" max="8706" width="6.125" style="113" customWidth="1"/>
    <col min="8707" max="8953" width="9" style="113"/>
    <col min="8954" max="8954" width="4.5" style="113" bestFit="1" customWidth="1"/>
    <col min="8955" max="8955" width="46.875" style="113" customWidth="1"/>
    <col min="8956" max="8956" width="13" style="113" customWidth="1"/>
    <col min="8957" max="8958" width="9.875" style="113" bestFit="1" customWidth="1"/>
    <col min="8959" max="8959" width="9.625" style="113" customWidth="1"/>
    <col min="8960" max="8960" width="12.625" style="113" customWidth="1"/>
    <col min="8961" max="8961" width="10.5" style="113" customWidth="1"/>
    <col min="8962" max="8962" width="6.125" style="113" customWidth="1"/>
    <col min="8963" max="9209" width="9" style="113"/>
    <col min="9210" max="9210" width="4.5" style="113" bestFit="1" customWidth="1"/>
    <col min="9211" max="9211" width="46.875" style="113" customWidth="1"/>
    <col min="9212" max="9212" width="13" style="113" customWidth="1"/>
    <col min="9213" max="9214" width="9.875" style="113" bestFit="1" customWidth="1"/>
    <col min="9215" max="9215" width="9.625" style="113" customWidth="1"/>
    <col min="9216" max="9216" width="12.625" style="113" customWidth="1"/>
    <col min="9217" max="9217" width="10.5" style="113" customWidth="1"/>
    <col min="9218" max="9218" width="6.125" style="113" customWidth="1"/>
    <col min="9219" max="9465" width="9" style="113"/>
    <col min="9466" max="9466" width="4.5" style="113" bestFit="1" customWidth="1"/>
    <col min="9467" max="9467" width="46.875" style="113" customWidth="1"/>
    <col min="9468" max="9468" width="13" style="113" customWidth="1"/>
    <col min="9469" max="9470" width="9.875" style="113" bestFit="1" customWidth="1"/>
    <col min="9471" max="9471" width="9.625" style="113" customWidth="1"/>
    <col min="9472" max="9472" width="12.625" style="113" customWidth="1"/>
    <col min="9473" max="9473" width="10.5" style="113" customWidth="1"/>
    <col min="9474" max="9474" width="6.125" style="113" customWidth="1"/>
    <col min="9475" max="9721" width="9" style="113"/>
    <col min="9722" max="9722" width="4.5" style="113" bestFit="1" customWidth="1"/>
    <col min="9723" max="9723" width="46.875" style="113" customWidth="1"/>
    <col min="9724" max="9724" width="13" style="113" customWidth="1"/>
    <col min="9725" max="9726" width="9.875" style="113" bestFit="1" customWidth="1"/>
    <col min="9727" max="9727" width="9.625" style="113" customWidth="1"/>
    <col min="9728" max="9728" width="12.625" style="113" customWidth="1"/>
    <col min="9729" max="9729" width="10.5" style="113" customWidth="1"/>
    <col min="9730" max="9730" width="6.125" style="113" customWidth="1"/>
    <col min="9731" max="9977" width="9" style="113"/>
    <col min="9978" max="9978" width="4.5" style="113" bestFit="1" customWidth="1"/>
    <col min="9979" max="9979" width="46.875" style="113" customWidth="1"/>
    <col min="9980" max="9980" width="13" style="113" customWidth="1"/>
    <col min="9981" max="9982" width="9.875" style="113" bestFit="1" customWidth="1"/>
    <col min="9983" max="9983" width="9.625" style="113" customWidth="1"/>
    <col min="9984" max="9984" width="12.625" style="113" customWidth="1"/>
    <col min="9985" max="9985" width="10.5" style="113" customWidth="1"/>
    <col min="9986" max="9986" width="6.125" style="113" customWidth="1"/>
    <col min="9987" max="10233" width="9" style="113"/>
    <col min="10234" max="10234" width="4.5" style="113" bestFit="1" customWidth="1"/>
    <col min="10235" max="10235" width="46.875" style="113" customWidth="1"/>
    <col min="10236" max="10236" width="13" style="113" customWidth="1"/>
    <col min="10237" max="10238" width="9.875" style="113" bestFit="1" customWidth="1"/>
    <col min="10239" max="10239" width="9.625" style="113" customWidth="1"/>
    <col min="10240" max="10240" width="12.625" style="113" customWidth="1"/>
    <col min="10241" max="10241" width="10.5" style="113" customWidth="1"/>
    <col min="10242" max="10242" width="6.125" style="113" customWidth="1"/>
    <col min="10243" max="10489" width="9" style="113"/>
    <col min="10490" max="10490" width="4.5" style="113" bestFit="1" customWidth="1"/>
    <col min="10491" max="10491" width="46.875" style="113" customWidth="1"/>
    <col min="10492" max="10492" width="13" style="113" customWidth="1"/>
    <col min="10493" max="10494" width="9.875" style="113" bestFit="1" customWidth="1"/>
    <col min="10495" max="10495" width="9.625" style="113" customWidth="1"/>
    <col min="10496" max="10496" width="12.625" style="113" customWidth="1"/>
    <col min="10497" max="10497" width="10.5" style="113" customWidth="1"/>
    <col min="10498" max="10498" width="6.125" style="113" customWidth="1"/>
    <col min="10499" max="10745" width="9" style="113"/>
    <col min="10746" max="10746" width="4.5" style="113" bestFit="1" customWidth="1"/>
    <col min="10747" max="10747" width="46.875" style="113" customWidth="1"/>
    <col min="10748" max="10748" width="13" style="113" customWidth="1"/>
    <col min="10749" max="10750" width="9.875" style="113" bestFit="1" customWidth="1"/>
    <col min="10751" max="10751" width="9.625" style="113" customWidth="1"/>
    <col min="10752" max="10752" width="12.625" style="113" customWidth="1"/>
    <col min="10753" max="10753" width="10.5" style="113" customWidth="1"/>
    <col min="10754" max="10754" width="6.125" style="113" customWidth="1"/>
    <col min="10755" max="11001" width="9" style="113"/>
    <col min="11002" max="11002" width="4.5" style="113" bestFit="1" customWidth="1"/>
    <col min="11003" max="11003" width="46.875" style="113" customWidth="1"/>
    <col min="11004" max="11004" width="13" style="113" customWidth="1"/>
    <col min="11005" max="11006" width="9.875" style="113" bestFit="1" customWidth="1"/>
    <col min="11007" max="11007" width="9.625" style="113" customWidth="1"/>
    <col min="11008" max="11008" width="12.625" style="113" customWidth="1"/>
    <col min="11009" max="11009" width="10.5" style="113" customWidth="1"/>
    <col min="11010" max="11010" width="6.125" style="113" customWidth="1"/>
    <col min="11011" max="11257" width="9" style="113"/>
    <col min="11258" max="11258" width="4.5" style="113" bestFit="1" customWidth="1"/>
    <col min="11259" max="11259" width="46.875" style="113" customWidth="1"/>
    <col min="11260" max="11260" width="13" style="113" customWidth="1"/>
    <col min="11261" max="11262" width="9.875" style="113" bestFit="1" customWidth="1"/>
    <col min="11263" max="11263" width="9.625" style="113" customWidth="1"/>
    <col min="11264" max="11264" width="12.625" style="113" customWidth="1"/>
    <col min="11265" max="11265" width="10.5" style="113" customWidth="1"/>
    <col min="11266" max="11266" width="6.125" style="113" customWidth="1"/>
    <col min="11267" max="11513" width="9" style="113"/>
    <col min="11514" max="11514" width="4.5" style="113" bestFit="1" customWidth="1"/>
    <col min="11515" max="11515" width="46.875" style="113" customWidth="1"/>
    <col min="11516" max="11516" width="13" style="113" customWidth="1"/>
    <col min="11517" max="11518" width="9.875" style="113" bestFit="1" customWidth="1"/>
    <col min="11519" max="11519" width="9.625" style="113" customWidth="1"/>
    <col min="11520" max="11520" width="12.625" style="113" customWidth="1"/>
    <col min="11521" max="11521" width="10.5" style="113" customWidth="1"/>
    <col min="11522" max="11522" width="6.125" style="113" customWidth="1"/>
    <col min="11523" max="11769" width="9" style="113"/>
    <col min="11770" max="11770" width="4.5" style="113" bestFit="1" customWidth="1"/>
    <col min="11771" max="11771" width="46.875" style="113" customWidth="1"/>
    <col min="11772" max="11772" width="13" style="113" customWidth="1"/>
    <col min="11773" max="11774" width="9.875" style="113" bestFit="1" customWidth="1"/>
    <col min="11775" max="11775" width="9.625" style="113" customWidth="1"/>
    <col min="11776" max="11776" width="12.625" style="113" customWidth="1"/>
    <col min="11777" max="11777" width="10.5" style="113" customWidth="1"/>
    <col min="11778" max="11778" width="6.125" style="113" customWidth="1"/>
    <col min="11779" max="12025" width="9" style="113"/>
    <col min="12026" max="12026" width="4.5" style="113" bestFit="1" customWidth="1"/>
    <col min="12027" max="12027" width="46.875" style="113" customWidth="1"/>
    <col min="12028" max="12028" width="13" style="113" customWidth="1"/>
    <col min="12029" max="12030" width="9.875" style="113" bestFit="1" customWidth="1"/>
    <col min="12031" max="12031" width="9.625" style="113" customWidth="1"/>
    <col min="12032" max="12032" width="12.625" style="113" customWidth="1"/>
    <col min="12033" max="12033" width="10.5" style="113" customWidth="1"/>
    <col min="12034" max="12034" width="6.125" style="113" customWidth="1"/>
    <col min="12035" max="12281" width="9" style="113"/>
    <col min="12282" max="12282" width="4.5" style="113" bestFit="1" customWidth="1"/>
    <col min="12283" max="12283" width="46.875" style="113" customWidth="1"/>
    <col min="12284" max="12284" width="13" style="113" customWidth="1"/>
    <col min="12285" max="12286" width="9.875" style="113" bestFit="1" customWidth="1"/>
    <col min="12287" max="12287" width="9.625" style="113" customWidth="1"/>
    <col min="12288" max="12288" width="12.625" style="113" customWidth="1"/>
    <col min="12289" max="12289" width="10.5" style="113" customWidth="1"/>
    <col min="12290" max="12290" width="6.125" style="113" customWidth="1"/>
    <col min="12291" max="12537" width="9" style="113"/>
    <col min="12538" max="12538" width="4.5" style="113" bestFit="1" customWidth="1"/>
    <col min="12539" max="12539" width="46.875" style="113" customWidth="1"/>
    <col min="12540" max="12540" width="13" style="113" customWidth="1"/>
    <col min="12541" max="12542" width="9.875" style="113" bestFit="1" customWidth="1"/>
    <col min="12543" max="12543" width="9.625" style="113" customWidth="1"/>
    <col min="12544" max="12544" width="12.625" style="113" customWidth="1"/>
    <col min="12545" max="12545" width="10.5" style="113" customWidth="1"/>
    <col min="12546" max="12546" width="6.125" style="113" customWidth="1"/>
    <col min="12547" max="12793" width="9" style="113"/>
    <col min="12794" max="12794" width="4.5" style="113" bestFit="1" customWidth="1"/>
    <col min="12795" max="12795" width="46.875" style="113" customWidth="1"/>
    <col min="12796" max="12796" width="13" style="113" customWidth="1"/>
    <col min="12797" max="12798" width="9.875" style="113" bestFit="1" customWidth="1"/>
    <col min="12799" max="12799" width="9.625" style="113" customWidth="1"/>
    <col min="12800" max="12800" width="12.625" style="113" customWidth="1"/>
    <col min="12801" max="12801" width="10.5" style="113" customWidth="1"/>
    <col min="12802" max="12802" width="6.125" style="113" customWidth="1"/>
    <col min="12803" max="13049" width="9" style="113"/>
    <col min="13050" max="13050" width="4.5" style="113" bestFit="1" customWidth="1"/>
    <col min="13051" max="13051" width="46.875" style="113" customWidth="1"/>
    <col min="13052" max="13052" width="13" style="113" customWidth="1"/>
    <col min="13053" max="13054" width="9.875" style="113" bestFit="1" customWidth="1"/>
    <col min="13055" max="13055" width="9.625" style="113" customWidth="1"/>
    <col min="13056" max="13056" width="12.625" style="113" customWidth="1"/>
    <col min="13057" max="13057" width="10.5" style="113" customWidth="1"/>
    <col min="13058" max="13058" width="6.125" style="113" customWidth="1"/>
    <col min="13059" max="13305" width="9" style="113"/>
    <col min="13306" max="13306" width="4.5" style="113" bestFit="1" customWidth="1"/>
    <col min="13307" max="13307" width="46.875" style="113" customWidth="1"/>
    <col min="13308" max="13308" width="13" style="113" customWidth="1"/>
    <col min="13309" max="13310" width="9.875" style="113" bestFit="1" customWidth="1"/>
    <col min="13311" max="13311" width="9.625" style="113" customWidth="1"/>
    <col min="13312" max="13312" width="12.625" style="113" customWidth="1"/>
    <col min="13313" max="13313" width="10.5" style="113" customWidth="1"/>
    <col min="13314" max="13314" width="6.125" style="113" customWidth="1"/>
    <col min="13315" max="13561" width="9" style="113"/>
    <col min="13562" max="13562" width="4.5" style="113" bestFit="1" customWidth="1"/>
    <col min="13563" max="13563" width="46.875" style="113" customWidth="1"/>
    <col min="13564" max="13564" width="13" style="113" customWidth="1"/>
    <col min="13565" max="13566" width="9.875" style="113" bestFit="1" customWidth="1"/>
    <col min="13567" max="13567" width="9.625" style="113" customWidth="1"/>
    <col min="13568" max="13568" width="12.625" style="113" customWidth="1"/>
    <col min="13569" max="13569" width="10.5" style="113" customWidth="1"/>
    <col min="13570" max="13570" width="6.125" style="113" customWidth="1"/>
    <col min="13571" max="13817" width="9" style="113"/>
    <col min="13818" max="13818" width="4.5" style="113" bestFit="1" customWidth="1"/>
    <col min="13819" max="13819" width="46.875" style="113" customWidth="1"/>
    <col min="13820" max="13820" width="13" style="113" customWidth="1"/>
    <col min="13821" max="13822" width="9.875" style="113" bestFit="1" customWidth="1"/>
    <col min="13823" max="13823" width="9.625" style="113" customWidth="1"/>
    <col min="13824" max="13824" width="12.625" style="113" customWidth="1"/>
    <col min="13825" max="13825" width="10.5" style="113" customWidth="1"/>
    <col min="13826" max="13826" width="6.125" style="113" customWidth="1"/>
    <col min="13827" max="14073" width="9" style="113"/>
    <col min="14074" max="14074" width="4.5" style="113" bestFit="1" customWidth="1"/>
    <col min="14075" max="14075" width="46.875" style="113" customWidth="1"/>
    <col min="14076" max="14076" width="13" style="113" customWidth="1"/>
    <col min="14077" max="14078" width="9.875" style="113" bestFit="1" customWidth="1"/>
    <col min="14079" max="14079" width="9.625" style="113" customWidth="1"/>
    <col min="14080" max="14080" width="12.625" style="113" customWidth="1"/>
    <col min="14081" max="14081" width="10.5" style="113" customWidth="1"/>
    <col min="14082" max="14082" width="6.125" style="113" customWidth="1"/>
    <col min="14083" max="14329" width="9" style="113"/>
    <col min="14330" max="14330" width="4.5" style="113" bestFit="1" customWidth="1"/>
    <col min="14331" max="14331" width="46.875" style="113" customWidth="1"/>
    <col min="14332" max="14332" width="13" style="113" customWidth="1"/>
    <col min="14333" max="14334" width="9.875" style="113" bestFit="1" customWidth="1"/>
    <col min="14335" max="14335" width="9.625" style="113" customWidth="1"/>
    <col min="14336" max="14336" width="12.625" style="113" customWidth="1"/>
    <col min="14337" max="14337" width="10.5" style="113" customWidth="1"/>
    <col min="14338" max="14338" width="6.125" style="113" customWidth="1"/>
    <col min="14339" max="14585" width="9" style="113"/>
    <col min="14586" max="14586" width="4.5" style="113" bestFit="1" customWidth="1"/>
    <col min="14587" max="14587" width="46.875" style="113" customWidth="1"/>
    <col min="14588" max="14588" width="13" style="113" customWidth="1"/>
    <col min="14589" max="14590" width="9.875" style="113" bestFit="1" customWidth="1"/>
    <col min="14591" max="14591" width="9.625" style="113" customWidth="1"/>
    <col min="14592" max="14592" width="12.625" style="113" customWidth="1"/>
    <col min="14593" max="14593" width="10.5" style="113" customWidth="1"/>
    <col min="14594" max="14594" width="6.125" style="113" customWidth="1"/>
    <col min="14595" max="14841" width="9" style="113"/>
    <col min="14842" max="14842" width="4.5" style="113" bestFit="1" customWidth="1"/>
    <col min="14843" max="14843" width="46.875" style="113" customWidth="1"/>
    <col min="14844" max="14844" width="13" style="113" customWidth="1"/>
    <col min="14845" max="14846" width="9.875" style="113" bestFit="1" customWidth="1"/>
    <col min="14847" max="14847" width="9.625" style="113" customWidth="1"/>
    <col min="14848" max="14848" width="12.625" style="113" customWidth="1"/>
    <col min="14849" max="14849" width="10.5" style="113" customWidth="1"/>
    <col min="14850" max="14850" width="6.125" style="113" customWidth="1"/>
    <col min="14851" max="15097" width="9" style="113"/>
    <col min="15098" max="15098" width="4.5" style="113" bestFit="1" customWidth="1"/>
    <col min="15099" max="15099" width="46.875" style="113" customWidth="1"/>
    <col min="15100" max="15100" width="13" style="113" customWidth="1"/>
    <col min="15101" max="15102" width="9.875" style="113" bestFit="1" customWidth="1"/>
    <col min="15103" max="15103" width="9.625" style="113" customWidth="1"/>
    <col min="15104" max="15104" width="12.625" style="113" customWidth="1"/>
    <col min="15105" max="15105" width="10.5" style="113" customWidth="1"/>
    <col min="15106" max="15106" width="6.125" style="113" customWidth="1"/>
    <col min="15107" max="15353" width="9" style="113"/>
    <col min="15354" max="15354" width="4.5" style="113" bestFit="1" customWidth="1"/>
    <col min="15355" max="15355" width="46.875" style="113" customWidth="1"/>
    <col min="15356" max="15356" width="13" style="113" customWidth="1"/>
    <col min="15357" max="15358" width="9.875" style="113" bestFit="1" customWidth="1"/>
    <col min="15359" max="15359" width="9.625" style="113" customWidth="1"/>
    <col min="15360" max="15360" width="12.625" style="113" customWidth="1"/>
    <col min="15361" max="15361" width="10.5" style="113" customWidth="1"/>
    <col min="15362" max="15362" width="6.125" style="113" customWidth="1"/>
    <col min="15363" max="15609" width="9" style="113"/>
    <col min="15610" max="15610" width="4.5" style="113" bestFit="1" customWidth="1"/>
    <col min="15611" max="15611" width="46.875" style="113" customWidth="1"/>
    <col min="15612" max="15612" width="13" style="113" customWidth="1"/>
    <col min="15613" max="15614" width="9.875" style="113" bestFit="1" customWidth="1"/>
    <col min="15615" max="15615" width="9.625" style="113" customWidth="1"/>
    <col min="15616" max="15616" width="12.625" style="113" customWidth="1"/>
    <col min="15617" max="15617" width="10.5" style="113" customWidth="1"/>
    <col min="15618" max="15618" width="6.125" style="113" customWidth="1"/>
    <col min="15619" max="15865" width="9" style="113"/>
    <col min="15866" max="15866" width="4.5" style="113" bestFit="1" customWidth="1"/>
    <col min="15867" max="15867" width="46.875" style="113" customWidth="1"/>
    <col min="15868" max="15868" width="13" style="113" customWidth="1"/>
    <col min="15869" max="15870" width="9.875" style="113" bestFit="1" customWidth="1"/>
    <col min="15871" max="15871" width="9.625" style="113" customWidth="1"/>
    <col min="15872" max="15872" width="12.625" style="113" customWidth="1"/>
    <col min="15873" max="15873" width="10.5" style="113" customWidth="1"/>
    <col min="15874" max="15874" width="6.125" style="113" customWidth="1"/>
    <col min="15875" max="16121" width="9" style="113"/>
    <col min="16122" max="16122" width="4.5" style="113" bestFit="1" customWidth="1"/>
    <col min="16123" max="16123" width="46.875" style="113" customWidth="1"/>
    <col min="16124" max="16124" width="13" style="113" customWidth="1"/>
    <col min="16125" max="16126" width="9.875" style="113" bestFit="1" customWidth="1"/>
    <col min="16127" max="16127" width="9.625" style="113" customWidth="1"/>
    <col min="16128" max="16128" width="12.625" style="113" customWidth="1"/>
    <col min="16129" max="16129" width="10.5" style="113" customWidth="1"/>
    <col min="16130" max="16130" width="6.125" style="113" customWidth="1"/>
    <col min="16131" max="16384" width="9" style="113"/>
  </cols>
  <sheetData>
    <row r="1" spans="1:11" ht="35.25" customHeight="1" x14ac:dyDescent="0.25">
      <c r="A1" s="388" t="s">
        <v>262</v>
      </c>
      <c r="B1" s="388"/>
      <c r="C1" s="388"/>
      <c r="D1" s="388"/>
      <c r="E1" s="388"/>
      <c r="F1" s="388"/>
      <c r="G1" s="388"/>
      <c r="H1" s="388"/>
      <c r="I1" s="388"/>
      <c r="J1" s="388"/>
    </row>
    <row r="2" spans="1:11" ht="65.25" hidden="1" customHeight="1" x14ac:dyDescent="0.25">
      <c r="A2" s="388" t="s">
        <v>187</v>
      </c>
      <c r="B2" s="388"/>
      <c r="C2" s="388"/>
      <c r="D2" s="388"/>
      <c r="E2" s="388"/>
      <c r="F2" s="388"/>
      <c r="G2" s="388"/>
      <c r="H2" s="388"/>
      <c r="I2" s="388"/>
      <c r="J2" s="388"/>
    </row>
    <row r="3" spans="1:11" ht="22.5" customHeight="1" x14ac:dyDescent="0.25">
      <c r="A3" s="389" t="s">
        <v>270</v>
      </c>
      <c r="B3" s="389"/>
      <c r="C3" s="389"/>
      <c r="D3" s="389"/>
      <c r="E3" s="389"/>
      <c r="F3" s="389"/>
      <c r="G3" s="389"/>
      <c r="H3" s="389"/>
      <c r="I3" s="389"/>
      <c r="J3" s="389"/>
    </row>
    <row r="4" spans="1:11" ht="19.5" customHeight="1" x14ac:dyDescent="0.25">
      <c r="A4" s="390" t="s">
        <v>104</v>
      </c>
      <c r="B4" s="390"/>
      <c r="C4" s="390"/>
      <c r="D4" s="390"/>
      <c r="E4" s="390"/>
      <c r="F4" s="390"/>
      <c r="G4" s="390"/>
      <c r="H4" s="390"/>
      <c r="I4" s="390"/>
      <c r="J4" s="390"/>
    </row>
    <row r="5" spans="1:11" ht="21" hidden="1" customHeight="1" x14ac:dyDescent="0.25">
      <c r="A5" s="278" t="s">
        <v>0</v>
      </c>
      <c r="B5" s="278" t="s">
        <v>105</v>
      </c>
      <c r="C5" s="379" t="s">
        <v>180</v>
      </c>
      <c r="D5" s="379" t="s">
        <v>190</v>
      </c>
      <c r="E5" s="379"/>
      <c r="F5" s="379"/>
      <c r="G5" s="379" t="s">
        <v>181</v>
      </c>
      <c r="H5" s="379"/>
      <c r="I5" s="379"/>
      <c r="J5" s="278" t="s">
        <v>182</v>
      </c>
    </row>
    <row r="6" spans="1:11" ht="49.5" customHeight="1" x14ac:dyDescent="0.25">
      <c r="A6" s="278" t="s">
        <v>0</v>
      </c>
      <c r="B6" s="123" t="s">
        <v>105</v>
      </c>
      <c r="C6" s="379"/>
      <c r="D6" s="277" t="s">
        <v>183</v>
      </c>
      <c r="E6" s="277" t="s">
        <v>184</v>
      </c>
      <c r="F6" s="277" t="s">
        <v>185</v>
      </c>
      <c r="G6" s="277" t="s">
        <v>186</v>
      </c>
      <c r="H6" s="277" t="s">
        <v>230</v>
      </c>
      <c r="I6" s="277" t="s">
        <v>231</v>
      </c>
      <c r="J6" s="123" t="s">
        <v>182</v>
      </c>
    </row>
    <row r="7" spans="1:11" s="100" customFormat="1" ht="21.75" customHeight="1" x14ac:dyDescent="0.25">
      <c r="A7" s="123" t="s">
        <v>11</v>
      </c>
      <c r="B7" s="123" t="s">
        <v>45</v>
      </c>
      <c r="C7" s="277" t="s">
        <v>232</v>
      </c>
      <c r="D7" s="232">
        <v>2</v>
      </c>
      <c r="E7" s="232">
        <v>3</v>
      </c>
      <c r="F7" s="232">
        <v>1</v>
      </c>
      <c r="G7" s="232">
        <v>5</v>
      </c>
      <c r="H7" s="232">
        <v>2</v>
      </c>
      <c r="I7" s="232">
        <v>6</v>
      </c>
      <c r="J7" s="123"/>
    </row>
    <row r="8" spans="1:11" s="100" customFormat="1" ht="21.75" customHeight="1" x14ac:dyDescent="0.25">
      <c r="A8" s="123"/>
      <c r="B8" s="123" t="s">
        <v>191</v>
      </c>
      <c r="C8" s="124">
        <f>C9+C15</f>
        <v>1184436.784</v>
      </c>
      <c r="D8" s="124">
        <f t="shared" ref="D8:H8" si="0">D9+D15</f>
        <v>118861.171</v>
      </c>
      <c r="E8" s="124">
        <f t="shared" si="0"/>
        <v>139530.61300000001</v>
      </c>
      <c r="F8" s="272">
        <f>F9+F15</f>
        <v>212367</v>
      </c>
      <c r="G8" s="124">
        <f t="shared" si="0"/>
        <v>713678</v>
      </c>
      <c r="H8" s="276">
        <f t="shared" si="0"/>
        <v>333000</v>
      </c>
      <c r="I8" s="124">
        <f t="shared" ref="I8:I9" si="1">G8-H8</f>
        <v>380678</v>
      </c>
      <c r="J8" s="123"/>
    </row>
    <row r="9" spans="1:11" s="100" customFormat="1" ht="21.75" customHeight="1" x14ac:dyDescent="0.25">
      <c r="A9" s="125">
        <v>1</v>
      </c>
      <c r="B9" s="126" t="s">
        <v>192</v>
      </c>
      <c r="C9" s="127">
        <f t="shared" ref="C9:H9" si="2">SUM(C10:C14)</f>
        <v>393684.78399999999</v>
      </c>
      <c r="D9" s="127">
        <f t="shared" si="2"/>
        <v>97199.171000000002</v>
      </c>
      <c r="E9" s="127">
        <f t="shared" si="2"/>
        <v>66176.612999999998</v>
      </c>
      <c r="F9" s="127">
        <f>SUM(F10:F14)</f>
        <v>104451</v>
      </c>
      <c r="G9" s="127">
        <f t="shared" si="2"/>
        <v>125858</v>
      </c>
      <c r="H9" s="127">
        <f t="shared" si="2"/>
        <v>68300</v>
      </c>
      <c r="I9" s="127">
        <f t="shared" si="1"/>
        <v>57558</v>
      </c>
      <c r="J9" s="128"/>
    </row>
    <row r="10" spans="1:11" s="100" customFormat="1" ht="22.5" customHeight="1" x14ac:dyDescent="0.25">
      <c r="A10" s="129" t="s">
        <v>193</v>
      </c>
      <c r="B10" s="130" t="s">
        <v>194</v>
      </c>
      <c r="C10" s="131">
        <f t="shared" ref="C10:H10" si="3">C29+C43+C19+C51+C67+C59+C75+C83+C90</f>
        <v>168348</v>
      </c>
      <c r="D10" s="131">
        <f t="shared" si="3"/>
        <v>57838</v>
      </c>
      <c r="E10" s="131">
        <f t="shared" si="3"/>
        <v>22070</v>
      </c>
      <c r="F10" s="131">
        <f>F29+F43+F19+F51+F67+F59+F75+F83+F90</f>
        <v>56930</v>
      </c>
      <c r="G10" s="131">
        <f t="shared" si="3"/>
        <v>31510</v>
      </c>
      <c r="H10" s="131">
        <f t="shared" si="3"/>
        <v>21110</v>
      </c>
      <c r="I10" s="131">
        <f>G10-H10</f>
        <v>10400</v>
      </c>
      <c r="J10" s="132"/>
    </row>
    <row r="11" spans="1:11" s="100" customFormat="1" ht="21.75" customHeight="1" x14ac:dyDescent="0.25">
      <c r="A11" s="129" t="s">
        <v>195</v>
      </c>
      <c r="B11" s="130" t="s">
        <v>196</v>
      </c>
      <c r="C11" s="131">
        <f t="shared" ref="C11:H15" si="4">C30+C44+C20+C52+C68+C60+C76+C84</f>
        <v>46491</v>
      </c>
      <c r="D11" s="131">
        <f t="shared" si="4"/>
        <v>5990</v>
      </c>
      <c r="E11" s="131">
        <f t="shared" si="4"/>
        <v>5033</v>
      </c>
      <c r="F11" s="131">
        <f t="shared" si="4"/>
        <v>12008</v>
      </c>
      <c r="G11" s="131">
        <f t="shared" si="4"/>
        <v>23460</v>
      </c>
      <c r="H11" s="131">
        <f t="shared" si="4"/>
        <v>11860</v>
      </c>
      <c r="I11" s="131">
        <f t="shared" ref="I11:I76" si="5">G11-H11</f>
        <v>11600</v>
      </c>
      <c r="J11" s="133"/>
    </row>
    <row r="12" spans="1:11" s="100" customFormat="1" ht="21.75" customHeight="1" x14ac:dyDescent="0.25">
      <c r="A12" s="129" t="s">
        <v>197</v>
      </c>
      <c r="B12" s="130" t="s">
        <v>198</v>
      </c>
      <c r="C12" s="131">
        <f t="shared" si="4"/>
        <v>122984.38399999999</v>
      </c>
      <c r="D12" s="131">
        <f t="shared" si="4"/>
        <v>20629.771000000001</v>
      </c>
      <c r="E12" s="131">
        <f t="shared" si="4"/>
        <v>28218.613000000001</v>
      </c>
      <c r="F12" s="131">
        <f t="shared" si="4"/>
        <v>26060</v>
      </c>
      <c r="G12" s="131">
        <f t="shared" si="4"/>
        <v>48076</v>
      </c>
      <c r="H12" s="131">
        <f t="shared" si="4"/>
        <v>23814</v>
      </c>
      <c r="I12" s="131">
        <f t="shared" si="5"/>
        <v>24262</v>
      </c>
      <c r="J12" s="132"/>
    </row>
    <row r="13" spans="1:11" s="100" customFormat="1" ht="21.75" customHeight="1" x14ac:dyDescent="0.25">
      <c r="A13" s="129" t="s">
        <v>199</v>
      </c>
      <c r="B13" s="130" t="s">
        <v>200</v>
      </c>
      <c r="C13" s="131">
        <f t="shared" si="4"/>
        <v>53614.400000000001</v>
      </c>
      <c r="D13" s="131">
        <f t="shared" si="4"/>
        <v>12163.4</v>
      </c>
      <c r="E13" s="131">
        <f t="shared" si="4"/>
        <v>9936</v>
      </c>
      <c r="F13" s="131">
        <f t="shared" si="4"/>
        <v>8923</v>
      </c>
      <c r="G13" s="131">
        <f t="shared" si="4"/>
        <v>22592</v>
      </c>
      <c r="H13" s="131">
        <f t="shared" si="4"/>
        <v>11296</v>
      </c>
      <c r="I13" s="131">
        <f t="shared" si="5"/>
        <v>11296</v>
      </c>
      <c r="J13" s="133"/>
    </row>
    <row r="14" spans="1:11" s="100" customFormat="1" ht="21.75" customHeight="1" x14ac:dyDescent="0.25">
      <c r="A14" s="129"/>
      <c r="B14" s="130" t="s">
        <v>201</v>
      </c>
      <c r="C14" s="131">
        <f t="shared" si="4"/>
        <v>2247</v>
      </c>
      <c r="D14" s="131">
        <f t="shared" si="4"/>
        <v>578</v>
      </c>
      <c r="E14" s="131">
        <f t="shared" si="4"/>
        <v>919</v>
      </c>
      <c r="F14" s="131">
        <f t="shared" si="4"/>
        <v>530</v>
      </c>
      <c r="G14" s="131">
        <f t="shared" si="4"/>
        <v>220</v>
      </c>
      <c r="H14" s="131">
        <f t="shared" si="4"/>
        <v>220</v>
      </c>
      <c r="I14" s="131">
        <f t="shared" si="5"/>
        <v>0</v>
      </c>
      <c r="J14" s="133"/>
    </row>
    <row r="15" spans="1:11" s="100" customFormat="1" ht="21" customHeight="1" x14ac:dyDescent="0.25">
      <c r="A15" s="134">
        <v>2</v>
      </c>
      <c r="B15" s="135" t="s">
        <v>202</v>
      </c>
      <c r="C15" s="136">
        <f t="shared" si="4"/>
        <v>790752</v>
      </c>
      <c r="D15" s="136">
        <f t="shared" si="4"/>
        <v>21662</v>
      </c>
      <c r="E15" s="136">
        <f t="shared" si="4"/>
        <v>73354</v>
      </c>
      <c r="F15" s="136">
        <f>F34+F48+F24+F56+F72+F64+F80+F88</f>
        <v>107916</v>
      </c>
      <c r="G15" s="136">
        <f t="shared" si="4"/>
        <v>587820</v>
      </c>
      <c r="H15" s="136">
        <f t="shared" si="4"/>
        <v>264700</v>
      </c>
      <c r="I15" s="136">
        <f t="shared" si="5"/>
        <v>323120</v>
      </c>
      <c r="J15" s="155" t="s">
        <v>242</v>
      </c>
      <c r="K15" s="121"/>
    </row>
    <row r="16" spans="1:11" s="100" customFormat="1" ht="21" customHeight="1" x14ac:dyDescent="0.25">
      <c r="A16" s="137"/>
      <c r="B16" s="138" t="s">
        <v>225</v>
      </c>
      <c r="C16" s="122"/>
      <c r="D16" s="122"/>
      <c r="E16" s="122"/>
      <c r="F16" s="271"/>
      <c r="G16" s="122"/>
      <c r="H16" s="275"/>
      <c r="I16" s="122">
        <f t="shared" si="5"/>
        <v>0</v>
      </c>
      <c r="J16" s="139"/>
      <c r="K16" s="121"/>
    </row>
    <row r="17" spans="1:11" s="99" customFormat="1" ht="15.75" x14ac:dyDescent="0.25">
      <c r="A17" s="123" t="s">
        <v>13</v>
      </c>
      <c r="B17" s="140" t="s">
        <v>108</v>
      </c>
      <c r="C17" s="124">
        <f>D17+E17+F17+G17</f>
        <v>36092</v>
      </c>
      <c r="D17" s="124">
        <f>D18+D24</f>
        <v>378</v>
      </c>
      <c r="E17" s="124">
        <f>E18+E24</f>
        <v>3964</v>
      </c>
      <c r="F17" s="272">
        <f>F18+F24</f>
        <v>3450</v>
      </c>
      <c r="G17" s="124">
        <f>G18+G24</f>
        <v>28300</v>
      </c>
      <c r="H17" s="276">
        <f>H18+H24</f>
        <v>5400</v>
      </c>
      <c r="I17" s="237">
        <f t="shared" si="5"/>
        <v>22900</v>
      </c>
      <c r="J17" s="141"/>
    </row>
    <row r="18" spans="1:11" s="101" customFormat="1" ht="15.75" x14ac:dyDescent="0.25">
      <c r="A18" s="142">
        <v>1</v>
      </c>
      <c r="B18" s="143" t="s">
        <v>192</v>
      </c>
      <c r="C18" s="124">
        <f>D18+E18+F18+G18</f>
        <v>4880</v>
      </c>
      <c r="D18" s="144">
        <f>SUM(D19:D22)</f>
        <v>378</v>
      </c>
      <c r="E18" s="144">
        <f>SUM(E19:E22)</f>
        <v>1659</v>
      </c>
      <c r="F18" s="144">
        <f>SUM(F19:F22)</f>
        <v>1293</v>
      </c>
      <c r="G18" s="144">
        <f>SUM(G19:G22)</f>
        <v>1550</v>
      </c>
      <c r="H18" s="144">
        <f>SUM(H19:H22)</f>
        <v>1400</v>
      </c>
      <c r="I18" s="144">
        <f>G18-H18</f>
        <v>150</v>
      </c>
      <c r="J18" s="145"/>
    </row>
    <row r="19" spans="1:11" ht="23.25" customHeight="1" x14ac:dyDescent="0.25">
      <c r="A19" s="146" t="s">
        <v>193</v>
      </c>
      <c r="B19" s="147" t="s">
        <v>194</v>
      </c>
      <c r="C19" s="148">
        <v>0</v>
      </c>
      <c r="D19" s="148">
        <v>0</v>
      </c>
      <c r="E19" s="148">
        <v>0</v>
      </c>
      <c r="F19" s="148">
        <v>0</v>
      </c>
      <c r="G19" s="148">
        <v>0</v>
      </c>
      <c r="H19" s="149">
        <v>0</v>
      </c>
      <c r="I19" s="149">
        <f t="shared" si="5"/>
        <v>0</v>
      </c>
      <c r="J19" s="150"/>
    </row>
    <row r="20" spans="1:11" ht="15.75" x14ac:dyDescent="0.25">
      <c r="A20" s="151" t="s">
        <v>195</v>
      </c>
      <c r="B20" s="152" t="s">
        <v>196</v>
      </c>
      <c r="C20" s="131">
        <f>D20+E20+F20+G20</f>
        <v>4606</v>
      </c>
      <c r="D20" s="131">
        <v>355</v>
      </c>
      <c r="E20" s="131">
        <v>1408</v>
      </c>
      <c r="F20" s="131">
        <v>1293</v>
      </c>
      <c r="G20" s="131">
        <v>1550</v>
      </c>
      <c r="H20" s="153">
        <v>1400</v>
      </c>
      <c r="I20" s="153">
        <f>G20-H20</f>
        <v>150</v>
      </c>
      <c r="J20" s="154"/>
    </row>
    <row r="21" spans="1:11" ht="15.75" x14ac:dyDescent="0.25">
      <c r="A21" s="151" t="s">
        <v>197</v>
      </c>
      <c r="B21" s="152" t="s">
        <v>198</v>
      </c>
      <c r="C21" s="131">
        <f>D21+E21+F21+G21</f>
        <v>209</v>
      </c>
      <c r="D21" s="131">
        <v>13</v>
      </c>
      <c r="E21" s="131">
        <v>196</v>
      </c>
      <c r="F21" s="131">
        <v>0</v>
      </c>
      <c r="G21" s="131">
        <v>0</v>
      </c>
      <c r="H21" s="153">
        <v>0</v>
      </c>
      <c r="I21" s="153">
        <f t="shared" si="5"/>
        <v>0</v>
      </c>
      <c r="J21" s="154"/>
    </row>
    <row r="22" spans="1:11" ht="15.75" x14ac:dyDescent="0.25">
      <c r="A22" s="151" t="s">
        <v>199</v>
      </c>
      <c r="B22" s="152" t="s">
        <v>200</v>
      </c>
      <c r="C22" s="131">
        <f>D22+E22+F22+G22</f>
        <v>65</v>
      </c>
      <c r="D22" s="131">
        <v>10</v>
      </c>
      <c r="E22" s="131">
        <v>55</v>
      </c>
      <c r="F22" s="131">
        <v>0</v>
      </c>
      <c r="G22" s="131">
        <v>0</v>
      </c>
      <c r="H22" s="153">
        <v>0</v>
      </c>
      <c r="I22" s="153">
        <f t="shared" si="5"/>
        <v>0</v>
      </c>
      <c r="J22" s="154"/>
    </row>
    <row r="23" spans="1:11" ht="15.75" x14ac:dyDescent="0.25">
      <c r="A23" s="155" t="s">
        <v>203</v>
      </c>
      <c r="B23" s="156" t="s">
        <v>201</v>
      </c>
      <c r="C23" s="157"/>
      <c r="D23" s="157"/>
      <c r="E23" s="157"/>
      <c r="F23" s="157"/>
      <c r="G23" s="157"/>
      <c r="H23" s="158"/>
      <c r="I23" s="158">
        <f t="shared" si="5"/>
        <v>0</v>
      </c>
      <c r="J23" s="159"/>
    </row>
    <row r="24" spans="1:11" s="101" customFormat="1" ht="15.75" x14ac:dyDescent="0.25">
      <c r="A24" s="142">
        <v>2</v>
      </c>
      <c r="B24" s="143" t="s">
        <v>202</v>
      </c>
      <c r="C24" s="124">
        <f>D24+E24+F24+G24</f>
        <v>31212</v>
      </c>
      <c r="D24" s="144">
        <f>D25</f>
        <v>0</v>
      </c>
      <c r="E24" s="144">
        <f>E25</f>
        <v>2305</v>
      </c>
      <c r="F24" s="144">
        <f>F25</f>
        <v>2157</v>
      </c>
      <c r="G24" s="144">
        <f>G25</f>
        <v>26750</v>
      </c>
      <c r="H24" s="144">
        <f>H25</f>
        <v>4000</v>
      </c>
      <c r="I24" s="144">
        <f t="shared" si="5"/>
        <v>22750</v>
      </c>
      <c r="J24" s="155" t="s">
        <v>242</v>
      </c>
    </row>
    <row r="25" spans="1:11" ht="15.75" x14ac:dyDescent="0.25">
      <c r="A25" s="146"/>
      <c r="B25" s="147" t="s">
        <v>117</v>
      </c>
      <c r="C25" s="148">
        <f>D25+E25+F25+G25</f>
        <v>31212</v>
      </c>
      <c r="D25" s="148">
        <v>0</v>
      </c>
      <c r="E25" s="148">
        <v>2305</v>
      </c>
      <c r="F25" s="148">
        <v>2157</v>
      </c>
      <c r="G25" s="148">
        <v>26750</v>
      </c>
      <c r="H25" s="149">
        <v>4000</v>
      </c>
      <c r="I25" s="149">
        <f t="shared" si="5"/>
        <v>22750</v>
      </c>
      <c r="J25" s="150"/>
    </row>
    <row r="26" spans="1:11" ht="31.5" hidden="1" x14ac:dyDescent="0.25">
      <c r="A26" s="155"/>
      <c r="B26" s="156" t="s">
        <v>118</v>
      </c>
      <c r="C26" s="157"/>
      <c r="D26" s="157"/>
      <c r="E26" s="157"/>
      <c r="F26" s="157"/>
      <c r="G26" s="157"/>
      <c r="H26" s="158"/>
      <c r="I26" s="158">
        <f t="shared" si="5"/>
        <v>0</v>
      </c>
      <c r="J26" s="159"/>
    </row>
    <row r="27" spans="1:11" s="99" customFormat="1" ht="18" customHeight="1" x14ac:dyDescent="0.25">
      <c r="A27" s="123" t="s">
        <v>18</v>
      </c>
      <c r="B27" s="140" t="s">
        <v>109</v>
      </c>
      <c r="C27" s="124">
        <f>D27+E27+F27+G27</f>
        <v>171101</v>
      </c>
      <c r="D27" s="124">
        <f>D28+D34</f>
        <v>10221</v>
      </c>
      <c r="E27" s="124">
        <f>E28+E34</f>
        <v>32250</v>
      </c>
      <c r="F27" s="272">
        <f>F28+F34</f>
        <v>11380</v>
      </c>
      <c r="G27" s="124">
        <f>G28+G34</f>
        <v>117250</v>
      </c>
      <c r="H27" s="276">
        <f>H28+H34</f>
        <v>36000</v>
      </c>
      <c r="I27" s="237">
        <f>G27-H27</f>
        <v>81250</v>
      </c>
      <c r="J27" s="141"/>
      <c r="K27" s="160"/>
    </row>
    <row r="28" spans="1:11" s="101" customFormat="1" ht="18" customHeight="1" x14ac:dyDescent="0.25">
      <c r="A28" s="142">
        <v>1</v>
      </c>
      <c r="B28" s="143" t="s">
        <v>192</v>
      </c>
      <c r="C28" s="144">
        <f>D28+E28+F28+G28</f>
        <v>20855</v>
      </c>
      <c r="D28" s="144">
        <f>SUM(D29:D32)</f>
        <v>5349</v>
      </c>
      <c r="E28" s="144">
        <f>SUM(E29:E32)</f>
        <v>3126</v>
      </c>
      <c r="F28" s="144">
        <f>SUM(F29:F32)</f>
        <v>1380</v>
      </c>
      <c r="G28" s="144">
        <f>SUM(G29:G32)</f>
        <v>11000</v>
      </c>
      <c r="H28" s="144">
        <f>SUM(H29:H32)</f>
        <v>10000</v>
      </c>
      <c r="I28" s="144">
        <f t="shared" si="5"/>
        <v>1000</v>
      </c>
      <c r="J28" s="145"/>
    </row>
    <row r="29" spans="1:11" ht="22.5" customHeight="1" x14ac:dyDescent="0.25">
      <c r="A29" s="146" t="s">
        <v>193</v>
      </c>
      <c r="B29" s="147" t="s">
        <v>194</v>
      </c>
      <c r="C29" s="148">
        <f t="shared" ref="C29:C46" si="6">D29+E29+F29+G29</f>
        <v>9000</v>
      </c>
      <c r="D29" s="148">
        <v>0</v>
      </c>
      <c r="E29" s="148">
        <v>0</v>
      </c>
      <c r="F29" s="148">
        <v>0</v>
      </c>
      <c r="G29" s="148">
        <v>9000</v>
      </c>
      <c r="H29" s="148">
        <v>9000</v>
      </c>
      <c r="I29" s="148">
        <f>G29-H29</f>
        <v>0</v>
      </c>
      <c r="J29" s="150"/>
    </row>
    <row r="30" spans="1:11" ht="18" customHeight="1" x14ac:dyDescent="0.25">
      <c r="A30" s="151" t="s">
        <v>195</v>
      </c>
      <c r="B30" s="152" t="s">
        <v>196</v>
      </c>
      <c r="C30" s="131">
        <f t="shared" si="6"/>
        <v>8148</v>
      </c>
      <c r="D30" s="131">
        <v>5208</v>
      </c>
      <c r="E30" s="131">
        <v>2240</v>
      </c>
      <c r="F30" s="131">
        <v>700</v>
      </c>
      <c r="G30" s="131">
        <v>0</v>
      </c>
      <c r="H30" s="131">
        <v>0</v>
      </c>
      <c r="I30" s="131">
        <f t="shared" si="5"/>
        <v>0</v>
      </c>
      <c r="J30" s="154"/>
    </row>
    <row r="31" spans="1:11" ht="18" customHeight="1" x14ac:dyDescent="0.25">
      <c r="A31" s="151" t="s">
        <v>197</v>
      </c>
      <c r="B31" s="152" t="s">
        <v>198</v>
      </c>
      <c r="C31" s="131">
        <f t="shared" si="6"/>
        <v>2269</v>
      </c>
      <c r="D31" s="131">
        <v>96</v>
      </c>
      <c r="E31" s="131">
        <v>803</v>
      </c>
      <c r="F31" s="131">
        <v>370</v>
      </c>
      <c r="G31" s="131">
        <v>1000</v>
      </c>
      <c r="H31" s="131">
        <v>500</v>
      </c>
      <c r="I31" s="131">
        <f t="shared" si="5"/>
        <v>500</v>
      </c>
      <c r="J31" s="154"/>
    </row>
    <row r="32" spans="1:11" ht="18" customHeight="1" x14ac:dyDescent="0.25">
      <c r="A32" s="151" t="s">
        <v>199</v>
      </c>
      <c r="B32" s="152" t="s">
        <v>200</v>
      </c>
      <c r="C32" s="131">
        <f>D32+E32+F32+G32</f>
        <v>1438</v>
      </c>
      <c r="D32" s="131">
        <v>45</v>
      </c>
      <c r="E32" s="131">
        <v>83</v>
      </c>
      <c r="F32" s="131">
        <v>310</v>
      </c>
      <c r="G32" s="131">
        <v>1000</v>
      </c>
      <c r="H32" s="131">
        <v>500</v>
      </c>
      <c r="I32" s="131">
        <f t="shared" si="5"/>
        <v>500</v>
      </c>
      <c r="J32" s="154"/>
    </row>
    <row r="33" spans="1:10" ht="18" customHeight="1" x14ac:dyDescent="0.25">
      <c r="A33" s="155" t="s">
        <v>203</v>
      </c>
      <c r="B33" s="156" t="s">
        <v>201</v>
      </c>
      <c r="C33" s="157"/>
      <c r="D33" s="157"/>
      <c r="E33" s="157"/>
      <c r="F33" s="157"/>
      <c r="G33" s="157"/>
      <c r="H33" s="157"/>
      <c r="I33" s="157">
        <f t="shared" si="5"/>
        <v>0</v>
      </c>
      <c r="J33" s="159"/>
    </row>
    <row r="34" spans="1:10" s="101" customFormat="1" ht="18.75" customHeight="1" x14ac:dyDescent="0.25">
      <c r="A34" s="142">
        <v>2</v>
      </c>
      <c r="B34" s="143" t="s">
        <v>202</v>
      </c>
      <c r="C34" s="144">
        <f>D34+E34+F34+G34</f>
        <v>150246</v>
      </c>
      <c r="D34" s="144">
        <f>D35+D36+D37+D38</f>
        <v>4872</v>
      </c>
      <c r="E34" s="144">
        <f>E35+E36+E37+E38</f>
        <v>29124</v>
      </c>
      <c r="F34" s="144">
        <f>F35+F36+F37+F38</f>
        <v>10000</v>
      </c>
      <c r="G34" s="144">
        <f>SUM(G35:G40)</f>
        <v>106250</v>
      </c>
      <c r="H34" s="144">
        <f t="shared" ref="H34:I34" si="7">SUM(H35:H40)</f>
        <v>26000</v>
      </c>
      <c r="I34" s="238">
        <f t="shared" si="7"/>
        <v>80250</v>
      </c>
      <c r="J34" s="155" t="s">
        <v>242</v>
      </c>
    </row>
    <row r="35" spans="1:10" s="164" customFormat="1" ht="18.75" hidden="1" customHeight="1" x14ac:dyDescent="0.25">
      <c r="A35" s="161"/>
      <c r="B35" s="269" t="s">
        <v>204</v>
      </c>
      <c r="C35" s="162">
        <f t="shared" si="6"/>
        <v>52996</v>
      </c>
      <c r="D35" s="162">
        <v>4872</v>
      </c>
      <c r="E35" s="162">
        <v>29124</v>
      </c>
      <c r="F35" s="162">
        <v>10000</v>
      </c>
      <c r="G35" s="162">
        <f>H35+I35</f>
        <v>9000</v>
      </c>
      <c r="H35" s="162">
        <v>9000</v>
      </c>
      <c r="I35" s="162">
        <v>0</v>
      </c>
      <c r="J35" s="163"/>
    </row>
    <row r="36" spans="1:10" s="164" customFormat="1" ht="18.75" hidden="1" customHeight="1" x14ac:dyDescent="0.25">
      <c r="A36" s="165"/>
      <c r="B36" s="270" t="s">
        <v>205</v>
      </c>
      <c r="C36" s="166">
        <f t="shared" si="6"/>
        <v>2500</v>
      </c>
      <c r="D36" s="166"/>
      <c r="E36" s="166"/>
      <c r="F36" s="166"/>
      <c r="G36" s="166">
        <f>H36+I36</f>
        <v>2500</v>
      </c>
      <c r="H36" s="166">
        <v>2500</v>
      </c>
      <c r="I36" s="166">
        <v>0</v>
      </c>
      <c r="J36" s="167"/>
    </row>
    <row r="37" spans="1:10" s="164" customFormat="1" ht="18.75" hidden="1" customHeight="1" x14ac:dyDescent="0.25">
      <c r="A37" s="165"/>
      <c r="B37" s="270" t="s">
        <v>157</v>
      </c>
      <c r="C37" s="166">
        <f t="shared" si="6"/>
        <v>25000</v>
      </c>
      <c r="D37" s="166"/>
      <c r="E37" s="166"/>
      <c r="F37" s="166"/>
      <c r="G37" s="166">
        <f>H37+I37</f>
        <v>25000</v>
      </c>
      <c r="H37" s="166">
        <f>10000+4500</f>
        <v>14500</v>
      </c>
      <c r="I37" s="166">
        <v>10500</v>
      </c>
      <c r="J37" s="167"/>
    </row>
    <row r="38" spans="1:10" s="164" customFormat="1" ht="31.5" hidden="1" x14ac:dyDescent="0.25">
      <c r="A38" s="165"/>
      <c r="B38" s="270" t="s">
        <v>254</v>
      </c>
      <c r="C38" s="166">
        <f>D38+E38+F38+G38</f>
        <v>50000</v>
      </c>
      <c r="D38" s="166"/>
      <c r="E38" s="166"/>
      <c r="F38" s="166"/>
      <c r="G38" s="166">
        <f>H38+I38</f>
        <v>50000</v>
      </c>
      <c r="H38" s="166">
        <v>0</v>
      </c>
      <c r="I38" s="166">
        <v>50000</v>
      </c>
      <c r="J38" s="167"/>
    </row>
    <row r="39" spans="1:10" s="164" customFormat="1" ht="15.75" hidden="1" x14ac:dyDescent="0.25">
      <c r="A39" s="165"/>
      <c r="B39" s="270" t="s">
        <v>255</v>
      </c>
      <c r="C39" s="166"/>
      <c r="D39" s="166"/>
      <c r="E39" s="166"/>
      <c r="F39" s="166"/>
      <c r="G39" s="166">
        <f t="shared" ref="G39:G40" si="8">H39+I39</f>
        <v>3000</v>
      </c>
      <c r="H39" s="166"/>
      <c r="I39" s="166">
        <v>3000</v>
      </c>
      <c r="J39" s="167"/>
    </row>
    <row r="40" spans="1:10" s="164" customFormat="1" ht="63" hidden="1" x14ac:dyDescent="0.25">
      <c r="A40" s="165"/>
      <c r="B40" s="270" t="s">
        <v>256</v>
      </c>
      <c r="C40" s="166"/>
      <c r="D40" s="166"/>
      <c r="E40" s="166"/>
      <c r="F40" s="166"/>
      <c r="G40" s="166">
        <f t="shared" si="8"/>
        <v>16750</v>
      </c>
      <c r="H40" s="166"/>
      <c r="I40" s="166">
        <v>16750</v>
      </c>
      <c r="J40" s="167"/>
    </row>
    <row r="41" spans="1:10" s="99" customFormat="1" ht="15.75" x14ac:dyDescent="0.25">
      <c r="A41" s="123" t="s">
        <v>179</v>
      </c>
      <c r="B41" s="140" t="s">
        <v>110</v>
      </c>
      <c r="C41" s="124">
        <f t="shared" si="6"/>
        <v>1206.7840000000001</v>
      </c>
      <c r="D41" s="124">
        <f>D42+D48</f>
        <v>625.17100000000005</v>
      </c>
      <c r="E41" s="124">
        <f>E42+E48</f>
        <v>251.613</v>
      </c>
      <c r="F41" s="272">
        <f>F42+F48</f>
        <v>130</v>
      </c>
      <c r="G41" s="124">
        <f>G42+G48</f>
        <v>200</v>
      </c>
      <c r="H41" s="276">
        <f>H42+H48</f>
        <v>100</v>
      </c>
      <c r="I41" s="124">
        <f t="shared" si="5"/>
        <v>100</v>
      </c>
      <c r="J41" s="141"/>
    </row>
    <row r="42" spans="1:10" s="101" customFormat="1" ht="15.75" x14ac:dyDescent="0.25">
      <c r="A42" s="142">
        <v>1</v>
      </c>
      <c r="B42" s="143" t="s">
        <v>192</v>
      </c>
      <c r="C42" s="124">
        <f t="shared" si="6"/>
        <v>1206.7840000000001</v>
      </c>
      <c r="D42" s="144">
        <f>SUM(D43:D46)</f>
        <v>625.17100000000005</v>
      </c>
      <c r="E42" s="144">
        <f>SUM(E43:E46)</f>
        <v>251.613</v>
      </c>
      <c r="F42" s="144">
        <f>SUM(F43:F46)</f>
        <v>130</v>
      </c>
      <c r="G42" s="144">
        <f>SUM(G43:G46)</f>
        <v>200</v>
      </c>
      <c r="H42" s="144">
        <f>SUM(H43:H46)</f>
        <v>100</v>
      </c>
      <c r="I42" s="144">
        <f t="shared" si="5"/>
        <v>100</v>
      </c>
      <c r="J42" s="145"/>
    </row>
    <row r="43" spans="1:10" ht="21" customHeight="1" x14ac:dyDescent="0.25">
      <c r="A43" s="146" t="s">
        <v>193</v>
      </c>
      <c r="B43" s="147" t="s">
        <v>194</v>
      </c>
      <c r="C43" s="127">
        <f t="shared" si="6"/>
        <v>0</v>
      </c>
      <c r="D43" s="148">
        <v>0</v>
      </c>
      <c r="E43" s="148">
        <v>0</v>
      </c>
      <c r="F43" s="148">
        <v>0</v>
      </c>
      <c r="G43" s="148">
        <v>0</v>
      </c>
      <c r="H43" s="149">
        <v>0</v>
      </c>
      <c r="I43" s="149">
        <f t="shared" si="5"/>
        <v>0</v>
      </c>
      <c r="J43" s="150"/>
    </row>
    <row r="44" spans="1:10" ht="15.75" x14ac:dyDescent="0.25">
      <c r="A44" s="151" t="s">
        <v>195</v>
      </c>
      <c r="B44" s="152" t="s">
        <v>196</v>
      </c>
      <c r="C44" s="168">
        <f t="shared" si="6"/>
        <v>0</v>
      </c>
      <c r="D44" s="131">
        <v>0</v>
      </c>
      <c r="E44" s="131">
        <v>0</v>
      </c>
      <c r="F44" s="131">
        <v>0</v>
      </c>
      <c r="G44" s="131">
        <v>0</v>
      </c>
      <c r="H44" s="153">
        <v>0</v>
      </c>
      <c r="I44" s="153">
        <f t="shared" si="5"/>
        <v>0</v>
      </c>
      <c r="J44" s="154"/>
    </row>
    <row r="45" spans="1:10" ht="15.75" x14ac:dyDescent="0.25">
      <c r="A45" s="151" t="s">
        <v>197</v>
      </c>
      <c r="B45" s="152" t="s">
        <v>198</v>
      </c>
      <c r="C45" s="131">
        <f t="shared" si="6"/>
        <v>1074.384</v>
      </c>
      <c r="D45" s="131">
        <v>492.77100000000002</v>
      </c>
      <c r="E45" s="131">
        <v>251.613</v>
      </c>
      <c r="F45" s="131">
        <v>130</v>
      </c>
      <c r="G45" s="131">
        <v>200</v>
      </c>
      <c r="H45" s="153">
        <v>100</v>
      </c>
      <c r="I45" s="153">
        <f t="shared" si="5"/>
        <v>100</v>
      </c>
      <c r="J45" s="154"/>
    </row>
    <row r="46" spans="1:10" ht="15.75" x14ac:dyDescent="0.25">
      <c r="A46" s="151" t="s">
        <v>199</v>
      </c>
      <c r="B46" s="152" t="s">
        <v>200</v>
      </c>
      <c r="C46" s="131">
        <f t="shared" si="6"/>
        <v>132.4</v>
      </c>
      <c r="D46" s="131">
        <v>132.4</v>
      </c>
      <c r="E46" s="131">
        <v>0</v>
      </c>
      <c r="F46" s="131">
        <v>0</v>
      </c>
      <c r="G46" s="131">
        <v>0</v>
      </c>
      <c r="H46" s="153">
        <v>0</v>
      </c>
      <c r="I46" s="153">
        <f t="shared" si="5"/>
        <v>0</v>
      </c>
      <c r="J46" s="154"/>
    </row>
    <row r="47" spans="1:10" ht="15.75" x14ac:dyDescent="0.25">
      <c r="A47" s="155" t="s">
        <v>203</v>
      </c>
      <c r="B47" s="156" t="s">
        <v>201</v>
      </c>
      <c r="C47" s="157"/>
      <c r="D47" s="157"/>
      <c r="E47" s="157"/>
      <c r="F47" s="157"/>
      <c r="G47" s="157"/>
      <c r="H47" s="158"/>
      <c r="I47" s="158">
        <f t="shared" si="5"/>
        <v>0</v>
      </c>
      <c r="J47" s="159"/>
    </row>
    <row r="48" spans="1:10" s="101" customFormat="1" ht="15.75" x14ac:dyDescent="0.25">
      <c r="A48" s="142">
        <v>2</v>
      </c>
      <c r="B48" s="143" t="s">
        <v>202</v>
      </c>
      <c r="C48" s="144">
        <v>0</v>
      </c>
      <c r="D48" s="144">
        <v>0</v>
      </c>
      <c r="E48" s="144">
        <v>0</v>
      </c>
      <c r="F48" s="144">
        <v>0</v>
      </c>
      <c r="G48" s="144">
        <v>0</v>
      </c>
      <c r="H48" s="144">
        <v>0</v>
      </c>
      <c r="I48" s="144">
        <f t="shared" si="5"/>
        <v>0</v>
      </c>
      <c r="J48" s="145"/>
    </row>
    <row r="49" spans="1:10" s="99" customFormat="1" ht="18.75" customHeight="1" x14ac:dyDescent="0.25">
      <c r="A49" s="123" t="s">
        <v>206</v>
      </c>
      <c r="B49" s="140" t="s">
        <v>112</v>
      </c>
      <c r="C49" s="124">
        <f t="shared" ref="C49:H49" si="9">C50+C56</f>
        <v>60224</v>
      </c>
      <c r="D49" s="124">
        <f t="shared" si="9"/>
        <v>18215</v>
      </c>
      <c r="E49" s="124">
        <f t="shared" si="9"/>
        <v>4009</v>
      </c>
      <c r="F49" s="272">
        <f t="shared" si="9"/>
        <v>5000</v>
      </c>
      <c r="G49" s="124">
        <f t="shared" si="9"/>
        <v>33000</v>
      </c>
      <c r="H49" s="276">
        <f t="shared" si="9"/>
        <v>27000</v>
      </c>
      <c r="I49" s="124">
        <f t="shared" si="5"/>
        <v>6000</v>
      </c>
      <c r="J49" s="141"/>
    </row>
    <row r="50" spans="1:10" s="99" customFormat="1" ht="18.75" customHeight="1" x14ac:dyDescent="0.25">
      <c r="A50" s="142">
        <v>1</v>
      </c>
      <c r="B50" s="143" t="s">
        <v>192</v>
      </c>
      <c r="C50" s="124">
        <f t="shared" ref="C50:H50" si="10">C51+C52+C53+C54</f>
        <v>22434</v>
      </c>
      <c r="D50" s="124">
        <f t="shared" si="10"/>
        <v>1425</v>
      </c>
      <c r="E50" s="124">
        <f t="shared" si="10"/>
        <v>4009</v>
      </c>
      <c r="F50" s="272">
        <f t="shared" si="10"/>
        <v>5000</v>
      </c>
      <c r="G50" s="124">
        <f t="shared" si="10"/>
        <v>12000</v>
      </c>
      <c r="H50" s="276">
        <f t="shared" si="10"/>
        <v>6000</v>
      </c>
      <c r="I50" s="124">
        <f t="shared" si="5"/>
        <v>6000</v>
      </c>
      <c r="J50" s="141"/>
    </row>
    <row r="51" spans="1:10" ht="18.75" customHeight="1" x14ac:dyDescent="0.25">
      <c r="A51" s="146" t="s">
        <v>193</v>
      </c>
      <c r="B51" s="147" t="s">
        <v>194</v>
      </c>
      <c r="C51" s="148">
        <f>D51+E51+F51+G51</f>
        <v>0</v>
      </c>
      <c r="D51" s="148">
        <v>0</v>
      </c>
      <c r="E51" s="148">
        <v>0</v>
      </c>
      <c r="F51" s="148">
        <v>0</v>
      </c>
      <c r="G51" s="148">
        <v>0</v>
      </c>
      <c r="H51" s="149">
        <v>0</v>
      </c>
      <c r="I51" s="149">
        <f t="shared" si="5"/>
        <v>0</v>
      </c>
      <c r="J51" s="150"/>
    </row>
    <row r="52" spans="1:10" ht="18.75" customHeight="1" x14ac:dyDescent="0.25">
      <c r="A52" s="151" t="s">
        <v>195</v>
      </c>
      <c r="B52" s="152" t="s">
        <v>196</v>
      </c>
      <c r="C52" s="131">
        <f>D52+E52+F52+G52</f>
        <v>0</v>
      </c>
      <c r="D52" s="131">
        <v>0</v>
      </c>
      <c r="E52" s="131">
        <v>0</v>
      </c>
      <c r="F52" s="131">
        <v>0</v>
      </c>
      <c r="G52" s="131">
        <v>0</v>
      </c>
      <c r="H52" s="153">
        <v>0</v>
      </c>
      <c r="I52" s="153">
        <f t="shared" si="5"/>
        <v>0</v>
      </c>
      <c r="J52" s="154"/>
    </row>
    <row r="53" spans="1:10" ht="18.75" customHeight="1" x14ac:dyDescent="0.25">
      <c r="A53" s="151" t="s">
        <v>197</v>
      </c>
      <c r="B53" s="152" t="s">
        <v>198</v>
      </c>
      <c r="C53" s="131">
        <f>D53+E53+F53+G53</f>
        <v>15361</v>
      </c>
      <c r="D53" s="131">
        <v>1212</v>
      </c>
      <c r="E53" s="131">
        <f>3678-29</f>
        <v>3649</v>
      </c>
      <c r="F53" s="131">
        <v>4500</v>
      </c>
      <c r="G53" s="131">
        <v>6000</v>
      </c>
      <c r="H53" s="153">
        <v>3000</v>
      </c>
      <c r="I53" s="153">
        <f t="shared" si="5"/>
        <v>3000</v>
      </c>
      <c r="J53" s="154"/>
    </row>
    <row r="54" spans="1:10" ht="18.75" customHeight="1" x14ac:dyDescent="0.25">
      <c r="A54" s="151" t="s">
        <v>199</v>
      </c>
      <c r="B54" s="152" t="s">
        <v>200</v>
      </c>
      <c r="C54" s="131">
        <f>D54+E54+F54+G54</f>
        <v>7073</v>
      </c>
      <c r="D54" s="131">
        <v>213</v>
      </c>
      <c r="E54" s="131">
        <v>360</v>
      </c>
      <c r="F54" s="131">
        <v>500</v>
      </c>
      <c r="G54" s="131">
        <v>6000</v>
      </c>
      <c r="H54" s="153">
        <v>3000</v>
      </c>
      <c r="I54" s="153">
        <f t="shared" si="5"/>
        <v>3000</v>
      </c>
      <c r="J54" s="154"/>
    </row>
    <row r="55" spans="1:10" ht="18.75" customHeight="1" x14ac:dyDescent="0.25">
      <c r="A55" s="155" t="s">
        <v>203</v>
      </c>
      <c r="B55" s="156" t="s">
        <v>201</v>
      </c>
      <c r="C55" s="157"/>
      <c r="D55" s="157"/>
      <c r="E55" s="157"/>
      <c r="F55" s="157"/>
      <c r="G55" s="157"/>
      <c r="H55" s="158"/>
      <c r="I55" s="158">
        <f t="shared" si="5"/>
        <v>0</v>
      </c>
      <c r="J55" s="159"/>
    </row>
    <row r="56" spans="1:10" s="99" customFormat="1" ht="18.75" customHeight="1" x14ac:dyDescent="0.25">
      <c r="A56" s="142">
        <v>2</v>
      </c>
      <c r="B56" s="143" t="s">
        <v>202</v>
      </c>
      <c r="C56" s="124">
        <f>D56+E56+F56+G56</f>
        <v>37790</v>
      </c>
      <c r="D56" s="124">
        <f>16797-7</f>
        <v>16790</v>
      </c>
      <c r="E56" s="124">
        <v>0</v>
      </c>
      <c r="F56" s="272">
        <v>0</v>
      </c>
      <c r="G56" s="124">
        <v>21000</v>
      </c>
      <c r="H56" s="169">
        <v>21000</v>
      </c>
      <c r="I56" s="169">
        <f t="shared" si="5"/>
        <v>0</v>
      </c>
      <c r="J56" s="155" t="s">
        <v>242</v>
      </c>
    </row>
    <row r="57" spans="1:10" s="99" customFormat="1" ht="18.75" customHeight="1" x14ac:dyDescent="0.25">
      <c r="A57" s="123" t="s">
        <v>207</v>
      </c>
      <c r="B57" s="140" t="s">
        <v>113</v>
      </c>
      <c r="C57" s="124">
        <f>D57+E57+F57+G57</f>
        <v>64919.000000000007</v>
      </c>
      <c r="D57" s="124">
        <f>D58+D64</f>
        <v>2911</v>
      </c>
      <c r="E57" s="124">
        <f>E58+E64</f>
        <v>4488</v>
      </c>
      <c r="F57" s="272">
        <f>F58+F64</f>
        <v>3000</v>
      </c>
      <c r="G57" s="124">
        <f>G58+G64</f>
        <v>54520.000000000007</v>
      </c>
      <c r="H57" s="276">
        <f t="shared" ref="H57:I57" si="11">H58+H64</f>
        <v>20000</v>
      </c>
      <c r="I57" s="256">
        <f t="shared" si="11"/>
        <v>34520.000000000007</v>
      </c>
      <c r="J57" s="141"/>
    </row>
    <row r="58" spans="1:10" s="99" customFormat="1" ht="19.5" customHeight="1" x14ac:dyDescent="0.25">
      <c r="A58" s="125">
        <v>1</v>
      </c>
      <c r="B58" s="170" t="s">
        <v>192</v>
      </c>
      <c r="C58" s="127">
        <f t="shared" ref="C58:C60" si="12">D58+E58+F58+G58</f>
        <v>16899</v>
      </c>
      <c r="D58" s="127">
        <f>SUM(D59:D62)</f>
        <v>2911</v>
      </c>
      <c r="E58" s="127">
        <f>SUM(E59:E62)</f>
        <v>4488</v>
      </c>
      <c r="F58" s="127">
        <f>SUM(F59:F62)</f>
        <v>3000</v>
      </c>
      <c r="G58" s="127">
        <f>SUM(G59:G63)</f>
        <v>6500</v>
      </c>
      <c r="H58" s="127">
        <f t="shared" ref="H58:I58" si="13">SUM(H59:H63)</f>
        <v>3500</v>
      </c>
      <c r="I58" s="127">
        <f t="shared" si="13"/>
        <v>3000</v>
      </c>
      <c r="J58" s="150"/>
    </row>
    <row r="59" spans="1:10" ht="21" customHeight="1" x14ac:dyDescent="0.25">
      <c r="A59" s="151" t="s">
        <v>193</v>
      </c>
      <c r="B59" s="152" t="s">
        <v>194</v>
      </c>
      <c r="C59" s="168">
        <f t="shared" si="12"/>
        <v>0</v>
      </c>
      <c r="D59" s="131"/>
      <c r="E59" s="131"/>
      <c r="F59" s="131"/>
      <c r="G59" s="131"/>
      <c r="H59" s="153"/>
      <c r="I59" s="153">
        <f t="shared" si="5"/>
        <v>0</v>
      </c>
      <c r="J59" s="154"/>
    </row>
    <row r="60" spans="1:10" ht="19.5" customHeight="1" x14ac:dyDescent="0.25">
      <c r="A60" s="151" t="s">
        <v>195</v>
      </c>
      <c r="B60" s="152" t="s">
        <v>196</v>
      </c>
      <c r="C60" s="168">
        <f t="shared" si="12"/>
        <v>0</v>
      </c>
      <c r="D60" s="131"/>
      <c r="E60" s="131"/>
      <c r="F60" s="131"/>
      <c r="G60" s="131"/>
      <c r="H60" s="153"/>
      <c r="I60" s="153">
        <f t="shared" si="5"/>
        <v>0</v>
      </c>
      <c r="J60" s="154"/>
    </row>
    <row r="61" spans="1:10" ht="19.5" customHeight="1" x14ac:dyDescent="0.25">
      <c r="A61" s="151" t="s">
        <v>197</v>
      </c>
      <c r="B61" s="152" t="s">
        <v>198</v>
      </c>
      <c r="C61" s="168">
        <f>D61+E61+F61+G61</f>
        <v>16789</v>
      </c>
      <c r="D61" s="131">
        <v>2901</v>
      </c>
      <c r="E61" s="171">
        <v>4428</v>
      </c>
      <c r="F61" s="171">
        <f>2460+500</f>
        <v>2960</v>
      </c>
      <c r="G61" s="131">
        <v>6500</v>
      </c>
      <c r="H61" s="153">
        <v>3500</v>
      </c>
      <c r="I61" s="153">
        <f t="shared" si="5"/>
        <v>3000</v>
      </c>
      <c r="J61" s="154"/>
    </row>
    <row r="62" spans="1:10" ht="19.5" customHeight="1" x14ac:dyDescent="0.25">
      <c r="A62" s="151" t="s">
        <v>199</v>
      </c>
      <c r="B62" s="152" t="s">
        <v>200</v>
      </c>
      <c r="C62" s="168">
        <f>D62+E62+F62+G62</f>
        <v>110</v>
      </c>
      <c r="D62" s="131">
        <v>10</v>
      </c>
      <c r="E62" s="171">
        <v>60</v>
      </c>
      <c r="F62" s="171">
        <v>40</v>
      </c>
      <c r="G62" s="172"/>
      <c r="H62" s="172"/>
      <c r="I62" s="172">
        <f t="shared" si="5"/>
        <v>0</v>
      </c>
      <c r="J62" s="154"/>
    </row>
    <row r="63" spans="1:10" ht="19.5" customHeight="1" x14ac:dyDescent="0.25">
      <c r="A63" s="151" t="s">
        <v>203</v>
      </c>
      <c r="B63" s="152" t="s">
        <v>201</v>
      </c>
      <c r="C63" s="168"/>
      <c r="D63" s="131"/>
      <c r="E63" s="171"/>
      <c r="F63" s="171"/>
      <c r="G63" s="172"/>
      <c r="H63" s="172"/>
      <c r="I63" s="172">
        <f t="shared" si="5"/>
        <v>0</v>
      </c>
      <c r="J63" s="154"/>
    </row>
    <row r="64" spans="1:10" s="99" customFormat="1" ht="19.5" customHeight="1" x14ac:dyDescent="0.25">
      <c r="A64" s="134">
        <v>2</v>
      </c>
      <c r="B64" s="173" t="s">
        <v>202</v>
      </c>
      <c r="C64" s="136">
        <f>D64+E64+F64+G64</f>
        <v>48020.000000000007</v>
      </c>
      <c r="D64" s="136"/>
      <c r="E64" s="136"/>
      <c r="F64" s="136"/>
      <c r="G64" s="136">
        <f>H64+I64</f>
        <v>48020.000000000007</v>
      </c>
      <c r="H64" s="174">
        <v>16500</v>
      </c>
      <c r="I64" s="274">
        <f>'Biểu 01 DA'!W21</f>
        <v>31520.000000000007</v>
      </c>
      <c r="J64" s="155" t="s">
        <v>242</v>
      </c>
    </row>
    <row r="65" spans="1:10" s="99" customFormat="1" ht="18.75" customHeight="1" x14ac:dyDescent="0.25">
      <c r="A65" s="123" t="s">
        <v>208</v>
      </c>
      <c r="B65" s="140" t="s">
        <v>114</v>
      </c>
      <c r="C65" s="124">
        <f t="shared" ref="C65:H65" si="14">C66+C72</f>
        <v>30965</v>
      </c>
      <c r="D65" s="124">
        <f t="shared" si="14"/>
        <v>3749</v>
      </c>
      <c r="E65" s="124">
        <f t="shared" si="14"/>
        <v>7496</v>
      </c>
      <c r="F65" s="272">
        <f t="shared" si="14"/>
        <v>6712</v>
      </c>
      <c r="G65" s="124">
        <f t="shared" si="14"/>
        <v>13008</v>
      </c>
      <c r="H65" s="276">
        <f t="shared" si="14"/>
        <v>6500</v>
      </c>
      <c r="I65" s="124">
        <f t="shared" si="5"/>
        <v>6508</v>
      </c>
      <c r="J65" s="141"/>
    </row>
    <row r="66" spans="1:10" s="99" customFormat="1" ht="18.75" customHeight="1" x14ac:dyDescent="0.25">
      <c r="A66" s="125">
        <v>1</v>
      </c>
      <c r="B66" s="175" t="s">
        <v>192</v>
      </c>
      <c r="C66" s="127">
        <f t="shared" ref="C66:H66" si="15">C67+C68+C69+C70+C71</f>
        <v>30965</v>
      </c>
      <c r="D66" s="127">
        <f t="shared" si="15"/>
        <v>3749</v>
      </c>
      <c r="E66" s="127">
        <f t="shared" si="15"/>
        <v>7496</v>
      </c>
      <c r="F66" s="127">
        <f t="shared" si="15"/>
        <v>6712</v>
      </c>
      <c r="G66" s="127">
        <f t="shared" si="15"/>
        <v>13008</v>
      </c>
      <c r="H66" s="127">
        <f t="shared" si="15"/>
        <v>6500</v>
      </c>
      <c r="I66" s="127">
        <f t="shared" si="5"/>
        <v>6508</v>
      </c>
      <c r="J66" s="176"/>
    </row>
    <row r="67" spans="1:10" ht="31.5" customHeight="1" x14ac:dyDescent="0.25">
      <c r="A67" s="151" t="s">
        <v>193</v>
      </c>
      <c r="B67" s="152" t="s">
        <v>194</v>
      </c>
      <c r="C67" s="131">
        <f>D67+E67+F67+G67</f>
        <v>1710</v>
      </c>
      <c r="D67" s="131">
        <v>0</v>
      </c>
      <c r="E67" s="131">
        <v>0</v>
      </c>
      <c r="F67" s="131">
        <v>0</v>
      </c>
      <c r="G67" s="131">
        <f>H67</f>
        <v>1710</v>
      </c>
      <c r="H67" s="153">
        <f>3210-1500</f>
        <v>1710</v>
      </c>
      <c r="I67" s="153">
        <v>0</v>
      </c>
      <c r="J67" s="154"/>
    </row>
    <row r="68" spans="1:10" ht="18.75" customHeight="1" x14ac:dyDescent="0.25">
      <c r="A68" s="151" t="s">
        <v>195</v>
      </c>
      <c r="B68" s="152" t="s">
        <v>196</v>
      </c>
      <c r="C68" s="131">
        <f>D68+E68+F68+G68</f>
        <v>2905</v>
      </c>
      <c r="D68" s="131">
        <v>0</v>
      </c>
      <c r="E68" s="131">
        <v>1286</v>
      </c>
      <c r="F68" s="131">
        <v>209</v>
      </c>
      <c r="G68" s="131">
        <v>1410</v>
      </c>
      <c r="H68" s="153">
        <v>210</v>
      </c>
      <c r="I68" s="153">
        <f t="shared" si="5"/>
        <v>1200</v>
      </c>
      <c r="J68" s="154"/>
    </row>
    <row r="69" spans="1:10" ht="18.75" customHeight="1" x14ac:dyDescent="0.25">
      <c r="A69" s="151" t="s">
        <v>197</v>
      </c>
      <c r="B69" s="152" t="s">
        <v>198</v>
      </c>
      <c r="C69" s="131">
        <f>D69+E69+F69+G69</f>
        <v>21000</v>
      </c>
      <c r="D69" s="131">
        <v>2249</v>
      </c>
      <c r="E69" s="131">
        <v>4275</v>
      </c>
      <c r="F69" s="131">
        <v>5400</v>
      </c>
      <c r="G69" s="131">
        <v>9076</v>
      </c>
      <c r="H69" s="153">
        <v>4064</v>
      </c>
      <c r="I69" s="153">
        <f t="shared" si="5"/>
        <v>5012</v>
      </c>
      <c r="J69" s="154"/>
    </row>
    <row r="70" spans="1:10" ht="18.75" customHeight="1" x14ac:dyDescent="0.25">
      <c r="A70" s="151" t="s">
        <v>199</v>
      </c>
      <c r="B70" s="152" t="s">
        <v>200</v>
      </c>
      <c r="C70" s="131">
        <f>D70+E70+F70+G70</f>
        <v>3103</v>
      </c>
      <c r="D70" s="131">
        <v>922</v>
      </c>
      <c r="E70" s="131">
        <v>1016</v>
      </c>
      <c r="F70" s="131">
        <v>573</v>
      </c>
      <c r="G70" s="131">
        <v>592</v>
      </c>
      <c r="H70" s="153">
        <v>296</v>
      </c>
      <c r="I70" s="153">
        <f t="shared" si="5"/>
        <v>296</v>
      </c>
      <c r="J70" s="154"/>
    </row>
    <row r="71" spans="1:10" ht="18.75" customHeight="1" x14ac:dyDescent="0.25">
      <c r="A71" s="151" t="s">
        <v>203</v>
      </c>
      <c r="B71" s="152" t="s">
        <v>201</v>
      </c>
      <c r="C71" s="131">
        <f>D71+E71+F71+G71</f>
        <v>2247</v>
      </c>
      <c r="D71" s="131">
        <v>578</v>
      </c>
      <c r="E71" s="131">
        <v>919</v>
      </c>
      <c r="F71" s="131">
        <v>530</v>
      </c>
      <c r="G71" s="131">
        <v>220</v>
      </c>
      <c r="H71" s="153">
        <v>220</v>
      </c>
      <c r="I71" s="153">
        <f t="shared" si="5"/>
        <v>0</v>
      </c>
      <c r="J71" s="154"/>
    </row>
    <row r="72" spans="1:10" s="99" customFormat="1" ht="18.75" customHeight="1" x14ac:dyDescent="0.25">
      <c r="A72" s="134">
        <v>2</v>
      </c>
      <c r="B72" s="173" t="s">
        <v>202</v>
      </c>
      <c r="C72" s="136">
        <v>0</v>
      </c>
      <c r="D72" s="136">
        <v>0</v>
      </c>
      <c r="E72" s="136">
        <v>0</v>
      </c>
      <c r="F72" s="136">
        <v>0</v>
      </c>
      <c r="G72" s="136">
        <v>0</v>
      </c>
      <c r="H72" s="174">
        <v>0</v>
      </c>
      <c r="I72" s="174">
        <f t="shared" si="5"/>
        <v>0</v>
      </c>
      <c r="J72" s="155" t="s">
        <v>242</v>
      </c>
    </row>
    <row r="73" spans="1:10" s="102" customFormat="1" ht="15.75" x14ac:dyDescent="0.25">
      <c r="A73" s="123" t="s">
        <v>209</v>
      </c>
      <c r="B73" s="177" t="s">
        <v>210</v>
      </c>
      <c r="C73" s="124">
        <f t="shared" ref="C73:H73" si="16">C74+C80</f>
        <v>16619</v>
      </c>
      <c r="D73" s="124">
        <f t="shared" si="16"/>
        <v>2398</v>
      </c>
      <c r="E73" s="124">
        <f t="shared" si="16"/>
        <v>5238</v>
      </c>
      <c r="F73" s="272">
        <f t="shared" si="16"/>
        <v>2983</v>
      </c>
      <c r="G73" s="124">
        <f t="shared" si="16"/>
        <v>6000</v>
      </c>
      <c r="H73" s="276">
        <f t="shared" si="16"/>
        <v>3000</v>
      </c>
      <c r="I73" s="124">
        <f t="shared" si="5"/>
        <v>3000</v>
      </c>
      <c r="J73" s="141"/>
    </row>
    <row r="74" spans="1:10" s="102" customFormat="1" ht="15.75" x14ac:dyDescent="0.25">
      <c r="A74" s="142">
        <v>1</v>
      </c>
      <c r="B74" s="178" t="s">
        <v>192</v>
      </c>
      <c r="C74" s="124">
        <f t="shared" ref="C74:H74" si="17">SUM(C75:C79)</f>
        <v>13432</v>
      </c>
      <c r="D74" s="124">
        <f t="shared" si="17"/>
        <v>2398</v>
      </c>
      <c r="E74" s="124">
        <f t="shared" si="17"/>
        <v>4834</v>
      </c>
      <c r="F74" s="272">
        <f t="shared" si="17"/>
        <v>2600</v>
      </c>
      <c r="G74" s="124">
        <f t="shared" si="17"/>
        <v>3600</v>
      </c>
      <c r="H74" s="276">
        <f t="shared" si="17"/>
        <v>1800</v>
      </c>
      <c r="I74" s="124">
        <f t="shared" si="5"/>
        <v>1800</v>
      </c>
      <c r="J74" s="141"/>
    </row>
    <row r="75" spans="1:10" s="233" customFormat="1" ht="33.75" customHeight="1" x14ac:dyDescent="0.25">
      <c r="A75" s="146" t="s">
        <v>193</v>
      </c>
      <c r="B75" s="179" t="s">
        <v>194</v>
      </c>
      <c r="C75" s="148">
        <f t="shared" ref="C75:C81" si="18">D75+E75+F75+G75</f>
        <v>5601</v>
      </c>
      <c r="D75" s="148">
        <v>1208</v>
      </c>
      <c r="E75" s="148">
        <f>3097-404</f>
        <v>2693</v>
      </c>
      <c r="F75" s="148">
        <v>900</v>
      </c>
      <c r="G75" s="148">
        <v>800</v>
      </c>
      <c r="H75" s="149">
        <v>400</v>
      </c>
      <c r="I75" s="149">
        <f t="shared" si="5"/>
        <v>400</v>
      </c>
      <c r="J75" s="150"/>
    </row>
    <row r="76" spans="1:10" s="233" customFormat="1" ht="15.75" x14ac:dyDescent="0.25">
      <c r="A76" s="151" t="s">
        <v>195</v>
      </c>
      <c r="B76" s="180" t="s">
        <v>196</v>
      </c>
      <c r="C76" s="131">
        <f t="shared" si="18"/>
        <v>1026</v>
      </c>
      <c r="D76" s="131">
        <v>427</v>
      </c>
      <c r="E76" s="131">
        <v>99</v>
      </c>
      <c r="F76" s="131"/>
      <c r="G76" s="131">
        <v>500</v>
      </c>
      <c r="H76" s="153">
        <v>250</v>
      </c>
      <c r="I76" s="153">
        <f t="shared" si="5"/>
        <v>250</v>
      </c>
      <c r="J76" s="181"/>
    </row>
    <row r="77" spans="1:10" s="233" customFormat="1" ht="15.75" x14ac:dyDescent="0.25">
      <c r="A77" s="151" t="s">
        <v>197</v>
      </c>
      <c r="B77" s="180" t="s">
        <v>198</v>
      </c>
      <c r="C77" s="131">
        <f t="shared" si="18"/>
        <v>4491</v>
      </c>
      <c r="D77" s="131">
        <v>432</v>
      </c>
      <c r="E77" s="131">
        <v>1559</v>
      </c>
      <c r="F77" s="131">
        <v>1200</v>
      </c>
      <c r="G77" s="131">
        <v>1300</v>
      </c>
      <c r="H77" s="153">
        <v>650</v>
      </c>
      <c r="I77" s="153">
        <f t="shared" ref="I77:I87" si="19">G77-H77</f>
        <v>650</v>
      </c>
      <c r="J77" s="181"/>
    </row>
    <row r="78" spans="1:10" s="233" customFormat="1" ht="15.75" x14ac:dyDescent="0.25">
      <c r="A78" s="151" t="s">
        <v>199</v>
      </c>
      <c r="B78" s="180" t="s">
        <v>200</v>
      </c>
      <c r="C78" s="131">
        <f t="shared" si="18"/>
        <v>2314</v>
      </c>
      <c r="D78" s="131">
        <v>331</v>
      </c>
      <c r="E78" s="131">
        <v>483</v>
      </c>
      <c r="F78" s="131">
        <v>500</v>
      </c>
      <c r="G78" s="131">
        <v>1000</v>
      </c>
      <c r="H78" s="153">
        <v>500</v>
      </c>
      <c r="I78" s="153">
        <f t="shared" si="19"/>
        <v>500</v>
      </c>
      <c r="J78" s="181"/>
    </row>
    <row r="79" spans="1:10" s="233" customFormat="1" ht="15.75" x14ac:dyDescent="0.25">
      <c r="A79" s="151" t="s">
        <v>203</v>
      </c>
      <c r="B79" s="152" t="s">
        <v>201</v>
      </c>
      <c r="C79" s="131">
        <f t="shared" si="18"/>
        <v>0</v>
      </c>
      <c r="D79" s="131"/>
      <c r="E79" s="131"/>
      <c r="F79" s="131"/>
      <c r="G79" s="131"/>
      <c r="H79" s="153"/>
      <c r="I79" s="153">
        <f t="shared" si="19"/>
        <v>0</v>
      </c>
      <c r="J79" s="154"/>
    </row>
    <row r="80" spans="1:10" s="102" customFormat="1" ht="15.75" x14ac:dyDescent="0.25">
      <c r="A80" s="134">
        <v>2</v>
      </c>
      <c r="B80" s="182" t="s">
        <v>202</v>
      </c>
      <c r="C80" s="136">
        <f t="shared" si="18"/>
        <v>3187</v>
      </c>
      <c r="D80" s="136"/>
      <c r="E80" s="136">
        <v>404</v>
      </c>
      <c r="F80" s="136">
        <v>383</v>
      </c>
      <c r="G80" s="136">
        <v>2400</v>
      </c>
      <c r="H80" s="174">
        <v>1200</v>
      </c>
      <c r="I80" s="174">
        <f t="shared" si="19"/>
        <v>1200</v>
      </c>
      <c r="J80" s="155" t="s">
        <v>242</v>
      </c>
    </row>
    <row r="81" spans="1:10" ht="15.75" x14ac:dyDescent="0.25">
      <c r="A81" s="183" t="s">
        <v>211</v>
      </c>
      <c r="B81" s="184" t="s">
        <v>107</v>
      </c>
      <c r="C81" s="124">
        <f t="shared" si="18"/>
        <v>798981</v>
      </c>
      <c r="D81" s="124">
        <f>D82+D88</f>
        <v>80364</v>
      </c>
      <c r="E81" s="124">
        <f>E82+E88</f>
        <v>81834</v>
      </c>
      <c r="F81" s="272">
        <f>F82+F88</f>
        <v>175383</v>
      </c>
      <c r="G81" s="124">
        <f>G82+G88</f>
        <v>461400</v>
      </c>
      <c r="H81" s="276">
        <f>H82+H88</f>
        <v>235000</v>
      </c>
      <c r="I81" s="124">
        <f t="shared" si="19"/>
        <v>226400</v>
      </c>
      <c r="J81" s="185"/>
    </row>
    <row r="82" spans="1:10" s="120" customFormat="1" ht="18.75" customHeight="1" x14ac:dyDescent="0.25">
      <c r="A82" s="125">
        <v>1</v>
      </c>
      <c r="B82" s="186" t="s">
        <v>192</v>
      </c>
      <c r="C82" s="187">
        <f t="shared" ref="C82:C86" si="20">D82+E82+F82+G82</f>
        <v>278684</v>
      </c>
      <c r="D82" s="187">
        <f>SUM(D83:D86)</f>
        <v>80364</v>
      </c>
      <c r="E82" s="187">
        <f>SUM(E83:E86)</f>
        <v>40313</v>
      </c>
      <c r="F82" s="187">
        <f>SUM(F83:F86)</f>
        <v>80007</v>
      </c>
      <c r="G82" s="187">
        <f>SUM(G83:G86)</f>
        <v>78000</v>
      </c>
      <c r="H82" s="187">
        <f>SUM(H83:H86)</f>
        <v>39000</v>
      </c>
      <c r="I82" s="187">
        <f t="shared" si="19"/>
        <v>39000</v>
      </c>
      <c r="J82" s="188"/>
    </row>
    <row r="83" spans="1:10" ht="19.5" customHeight="1" x14ac:dyDescent="0.25">
      <c r="A83" s="151" t="s">
        <v>193</v>
      </c>
      <c r="B83" s="189" t="s">
        <v>194</v>
      </c>
      <c r="C83" s="131">
        <f>D83+E83+F83+G83</f>
        <v>147708</v>
      </c>
      <c r="D83" s="131">
        <v>56630</v>
      </c>
      <c r="E83" s="131">
        <v>19377</v>
      </c>
      <c r="F83" s="131">
        <v>51701</v>
      </c>
      <c r="G83" s="131">
        <v>20000</v>
      </c>
      <c r="H83" s="153">
        <v>10000</v>
      </c>
      <c r="I83" s="153">
        <f t="shared" si="19"/>
        <v>10000</v>
      </c>
      <c r="J83" s="190"/>
    </row>
    <row r="84" spans="1:10" ht="15.75" x14ac:dyDescent="0.25">
      <c r="A84" s="151" t="s">
        <v>195</v>
      </c>
      <c r="B84" s="189" t="s">
        <v>196</v>
      </c>
      <c r="C84" s="131">
        <f>D84+E84+F84+G84</f>
        <v>29806</v>
      </c>
      <c r="D84" s="131"/>
      <c r="E84" s="131"/>
      <c r="F84" s="131">
        <v>9806</v>
      </c>
      <c r="G84" s="131">
        <v>20000</v>
      </c>
      <c r="H84" s="153">
        <v>10000</v>
      </c>
      <c r="I84" s="153">
        <f t="shared" si="19"/>
        <v>10000</v>
      </c>
      <c r="J84" s="190"/>
    </row>
    <row r="85" spans="1:10" ht="15.75" x14ac:dyDescent="0.25">
      <c r="A85" s="151" t="s">
        <v>197</v>
      </c>
      <c r="B85" s="189" t="s">
        <v>198</v>
      </c>
      <c r="C85" s="131">
        <f t="shared" si="20"/>
        <v>61791</v>
      </c>
      <c r="D85" s="131">
        <v>13234</v>
      </c>
      <c r="E85" s="131">
        <v>13057</v>
      </c>
      <c r="F85" s="131">
        <v>11500</v>
      </c>
      <c r="G85" s="131">
        <v>24000</v>
      </c>
      <c r="H85" s="153">
        <v>12000</v>
      </c>
      <c r="I85" s="153">
        <f t="shared" si="19"/>
        <v>12000</v>
      </c>
      <c r="J85" s="190"/>
    </row>
    <row r="86" spans="1:10" ht="15.75" x14ac:dyDescent="0.25">
      <c r="A86" s="151" t="s">
        <v>199</v>
      </c>
      <c r="B86" s="189" t="s">
        <v>200</v>
      </c>
      <c r="C86" s="131">
        <f t="shared" si="20"/>
        <v>39379</v>
      </c>
      <c r="D86" s="131">
        <v>10500</v>
      </c>
      <c r="E86" s="131">
        <v>7879</v>
      </c>
      <c r="F86" s="131">
        <v>7000</v>
      </c>
      <c r="G86" s="234">
        <v>14000</v>
      </c>
      <c r="H86" s="234">
        <v>7000</v>
      </c>
      <c r="I86" s="234">
        <f t="shared" si="19"/>
        <v>7000</v>
      </c>
      <c r="J86" s="190"/>
    </row>
    <row r="87" spans="1:10" ht="15.75" x14ac:dyDescent="0.25">
      <c r="A87" s="151" t="s">
        <v>203</v>
      </c>
      <c r="B87" s="152" t="s">
        <v>201</v>
      </c>
      <c r="C87" s="168"/>
      <c r="D87" s="131"/>
      <c r="E87" s="131"/>
      <c r="F87" s="131"/>
      <c r="G87" s="234"/>
      <c r="H87" s="234"/>
      <c r="I87" s="234">
        <f t="shared" si="19"/>
        <v>0</v>
      </c>
      <c r="J87" s="190"/>
    </row>
    <row r="88" spans="1:10" ht="15.75" x14ac:dyDescent="0.25">
      <c r="A88" s="134">
        <v>2</v>
      </c>
      <c r="B88" s="191" t="s">
        <v>202</v>
      </c>
      <c r="C88" s="136">
        <f>D88+E88+F88+G88</f>
        <v>520297</v>
      </c>
      <c r="D88" s="136"/>
      <c r="E88" s="136">
        <v>41521</v>
      </c>
      <c r="F88" s="136">
        <v>95376</v>
      </c>
      <c r="G88" s="136">
        <f>H88+I88</f>
        <v>383400</v>
      </c>
      <c r="H88" s="174">
        <f>'Biểu 01 DA'!V25</f>
        <v>196000</v>
      </c>
      <c r="I88" s="274">
        <f>'Biểu 01 DA'!W25</f>
        <v>187400</v>
      </c>
      <c r="J88" s="155" t="s">
        <v>242</v>
      </c>
    </row>
    <row r="89" spans="1:10" ht="18.75" customHeight="1" x14ac:dyDescent="0.25">
      <c r="A89" s="183" t="s">
        <v>212</v>
      </c>
      <c r="B89" s="184" t="s">
        <v>213</v>
      </c>
      <c r="C89" s="124">
        <f>D89+E89+F89+G89</f>
        <v>4329</v>
      </c>
      <c r="D89" s="124">
        <f>D90+D96</f>
        <v>0</v>
      </c>
      <c r="E89" s="124">
        <f>E90+E96</f>
        <v>0</v>
      </c>
      <c r="F89" s="272">
        <v>4329</v>
      </c>
      <c r="G89" s="124">
        <f>G90+G96</f>
        <v>0</v>
      </c>
      <c r="H89" s="276">
        <f>H90+H96</f>
        <v>0</v>
      </c>
      <c r="I89" s="124"/>
      <c r="J89" s="185"/>
    </row>
    <row r="90" spans="1:10" ht="15.75" x14ac:dyDescent="0.25">
      <c r="A90" s="192" t="s">
        <v>193</v>
      </c>
      <c r="B90" s="193" t="s">
        <v>194</v>
      </c>
      <c r="C90" s="194">
        <f>D90+E90+F90+G90</f>
        <v>4329</v>
      </c>
      <c r="D90" s="194">
        <v>0</v>
      </c>
      <c r="E90" s="194"/>
      <c r="F90" s="194">
        <v>4329</v>
      </c>
      <c r="G90" s="194">
        <v>0</v>
      </c>
      <c r="H90" s="195">
        <v>0</v>
      </c>
      <c r="I90" s="195"/>
      <c r="J90" s="196"/>
    </row>
  </sheetData>
  <mergeCells count="7">
    <mergeCell ref="A1:J1"/>
    <mergeCell ref="A2:J2"/>
    <mergeCell ref="A3:J3"/>
    <mergeCell ref="A4:J4"/>
    <mergeCell ref="C5:C6"/>
    <mergeCell ref="D5:F5"/>
    <mergeCell ref="G5:I5"/>
  </mergeCells>
  <pageMargins left="0.78740157480314965" right="0.39370078740157483" top="0.78740157480314965" bottom="0.78740157480314965" header="0.31496062992125984" footer="0.31496062992125984"/>
  <pageSetup paperSize="9" scale="89" firstPageNumber="13" orientation="portrait" useFirstPageNumber="1" horizontalDpi="200" r:id="rId1"/>
  <headerFooter>
    <oddHeader>&amp;C&amp;P&amp;R&amp;"Times New Roman,Italic"&amp;14Biểu số 02</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view="pageLayout" topLeftCell="A4" zoomScale="85" zoomScaleNormal="100" zoomScaleSheetLayoutView="115" zoomScalePageLayoutView="85" workbookViewId="0">
      <selection activeCell="S9" sqref="S9"/>
    </sheetView>
  </sheetViews>
  <sheetFormatPr defaultRowHeight="15.75" x14ac:dyDescent="0.25"/>
  <cols>
    <col min="1" max="1" width="4.625" customWidth="1"/>
    <col min="2" max="2" width="17.375" customWidth="1"/>
    <col min="3" max="3" width="9.125" bestFit="1" customWidth="1"/>
    <col min="7" max="7" width="8.75" customWidth="1"/>
    <col min="9" max="9" width="4.875" hidden="1" customWidth="1"/>
    <col min="10" max="10" width="6.125" hidden="1" customWidth="1"/>
    <col min="11" max="11" width="0" hidden="1" customWidth="1"/>
    <col min="18" max="18" width="12.625" customWidth="1"/>
    <col min="19" max="19" width="11.375" customWidth="1"/>
  </cols>
  <sheetData>
    <row r="1" spans="1:21" ht="18.75" customHeight="1" x14ac:dyDescent="0.25">
      <c r="A1" s="393" t="s">
        <v>167</v>
      </c>
      <c r="B1" s="393"/>
      <c r="C1" s="393"/>
      <c r="D1" s="393"/>
      <c r="E1" s="393"/>
      <c r="F1" s="393"/>
      <c r="G1" s="393"/>
      <c r="H1" s="393"/>
      <c r="I1" s="393"/>
      <c r="J1" s="393"/>
      <c r="K1" s="393"/>
      <c r="L1" s="393"/>
      <c r="M1" s="393"/>
      <c r="N1" s="393"/>
      <c r="O1" s="393"/>
      <c r="P1" s="393"/>
      <c r="Q1" s="393"/>
      <c r="R1" s="393"/>
      <c r="S1" s="393"/>
      <c r="T1" s="393"/>
      <c r="U1" s="393"/>
    </row>
    <row r="2" spans="1:21" ht="18.75" customHeight="1" x14ac:dyDescent="0.25">
      <c r="A2" s="392" t="s">
        <v>243</v>
      </c>
      <c r="B2" s="392"/>
      <c r="C2" s="392"/>
      <c r="D2" s="392"/>
      <c r="E2" s="392"/>
      <c r="F2" s="392"/>
      <c r="G2" s="392"/>
      <c r="H2" s="392"/>
      <c r="I2" s="392"/>
      <c r="J2" s="392"/>
      <c r="K2" s="392"/>
      <c r="L2" s="392"/>
      <c r="M2" s="392"/>
      <c r="N2" s="392"/>
      <c r="O2" s="392"/>
      <c r="P2" s="392"/>
      <c r="Q2" s="392"/>
      <c r="R2" s="392"/>
      <c r="S2" s="392"/>
      <c r="T2" s="392"/>
      <c r="U2" s="392"/>
    </row>
    <row r="3" spans="1:21" ht="15.75" customHeight="1" x14ac:dyDescent="0.25">
      <c r="A3" s="231"/>
      <c r="B3" s="231"/>
      <c r="C3" s="231"/>
      <c r="D3" s="231"/>
      <c r="E3" s="231"/>
      <c r="F3" s="231"/>
      <c r="G3" s="231"/>
      <c r="H3" s="231"/>
      <c r="I3" s="231"/>
      <c r="J3" s="231"/>
      <c r="K3" s="231"/>
      <c r="L3" s="231"/>
      <c r="M3" s="231"/>
      <c r="N3" s="231"/>
      <c r="O3" s="231"/>
      <c r="P3" s="231"/>
      <c r="Q3" s="231"/>
      <c r="R3" s="391" t="s">
        <v>104</v>
      </c>
      <c r="S3" s="391"/>
      <c r="T3" s="391"/>
      <c r="U3" s="391"/>
    </row>
    <row r="4" spans="1:21" ht="22.5" customHeight="1" x14ac:dyDescent="0.25">
      <c r="A4" s="394" t="s">
        <v>0</v>
      </c>
      <c r="B4" s="394" t="s">
        <v>105</v>
      </c>
      <c r="C4" s="394" t="s">
        <v>221</v>
      </c>
      <c r="D4" s="394"/>
      <c r="E4" s="394"/>
      <c r="F4" s="399" t="s">
        <v>177</v>
      </c>
      <c r="G4" s="399"/>
      <c r="H4" s="399"/>
      <c r="I4" s="399"/>
      <c r="J4" s="399"/>
      <c r="K4" s="399"/>
      <c r="L4" s="399"/>
      <c r="M4" s="399"/>
      <c r="N4" s="399"/>
      <c r="O4" s="399"/>
      <c r="P4" s="399"/>
      <c r="Q4" s="399"/>
      <c r="R4" s="396" t="s">
        <v>228</v>
      </c>
      <c r="S4" s="395" t="s">
        <v>229</v>
      </c>
      <c r="T4" s="395"/>
      <c r="U4" s="395"/>
    </row>
    <row r="5" spans="1:21" ht="117" customHeight="1" x14ac:dyDescent="0.25">
      <c r="A5" s="394"/>
      <c r="B5" s="394"/>
      <c r="C5" s="394"/>
      <c r="D5" s="394"/>
      <c r="E5" s="394"/>
      <c r="F5" s="394" t="s">
        <v>173</v>
      </c>
      <c r="G5" s="394"/>
      <c r="H5" s="394"/>
      <c r="I5" s="394" t="s">
        <v>174</v>
      </c>
      <c r="J5" s="394"/>
      <c r="K5" s="394"/>
      <c r="L5" s="394" t="s">
        <v>237</v>
      </c>
      <c r="M5" s="394"/>
      <c r="N5" s="394"/>
      <c r="O5" s="394" t="s">
        <v>236</v>
      </c>
      <c r="P5" s="394"/>
      <c r="Q5" s="394"/>
      <c r="R5" s="397"/>
      <c r="S5" s="395"/>
      <c r="T5" s="395"/>
      <c r="U5" s="395"/>
    </row>
    <row r="6" spans="1:21" ht="15.75" customHeight="1" x14ac:dyDescent="0.25">
      <c r="A6" s="394"/>
      <c r="B6" s="394"/>
      <c r="C6" s="394" t="s">
        <v>168</v>
      </c>
      <c r="D6" s="394" t="s">
        <v>171</v>
      </c>
      <c r="E6" s="394"/>
      <c r="F6" s="394" t="s">
        <v>168</v>
      </c>
      <c r="G6" s="394" t="s">
        <v>171</v>
      </c>
      <c r="H6" s="394"/>
      <c r="I6" s="394" t="s">
        <v>168</v>
      </c>
      <c r="J6" s="394" t="s">
        <v>171</v>
      </c>
      <c r="K6" s="394"/>
      <c r="L6" s="394" t="s">
        <v>168</v>
      </c>
      <c r="M6" s="394" t="s">
        <v>171</v>
      </c>
      <c r="N6" s="394"/>
      <c r="O6" s="394" t="s">
        <v>168</v>
      </c>
      <c r="P6" s="394" t="s">
        <v>171</v>
      </c>
      <c r="Q6" s="394"/>
      <c r="R6" s="397"/>
      <c r="S6" s="394" t="s">
        <v>168</v>
      </c>
      <c r="T6" s="394" t="s">
        <v>171</v>
      </c>
      <c r="U6" s="394"/>
    </row>
    <row r="7" spans="1:21" ht="28.5" x14ac:dyDescent="0.25">
      <c r="A7" s="394"/>
      <c r="B7" s="394"/>
      <c r="C7" s="394"/>
      <c r="D7" s="84" t="s">
        <v>169</v>
      </c>
      <c r="E7" s="84" t="s">
        <v>170</v>
      </c>
      <c r="F7" s="394"/>
      <c r="G7" s="84" t="s">
        <v>169</v>
      </c>
      <c r="H7" s="84" t="s">
        <v>170</v>
      </c>
      <c r="I7" s="394"/>
      <c r="J7" s="84" t="s">
        <v>169</v>
      </c>
      <c r="K7" s="84" t="s">
        <v>170</v>
      </c>
      <c r="L7" s="394"/>
      <c r="M7" s="84" t="s">
        <v>169</v>
      </c>
      <c r="N7" s="84" t="s">
        <v>170</v>
      </c>
      <c r="O7" s="394"/>
      <c r="P7" s="84" t="s">
        <v>169</v>
      </c>
      <c r="Q7" s="84" t="s">
        <v>170</v>
      </c>
      <c r="R7" s="398"/>
      <c r="S7" s="394"/>
      <c r="T7" s="84" t="s">
        <v>169</v>
      </c>
      <c r="U7" s="84" t="s">
        <v>170</v>
      </c>
    </row>
    <row r="8" spans="1:21" ht="28.5" x14ac:dyDescent="0.25">
      <c r="A8" s="84"/>
      <c r="B8" s="84"/>
      <c r="C8" s="84" t="s">
        <v>238</v>
      </c>
      <c r="D8" s="84">
        <v>2</v>
      </c>
      <c r="E8" s="84">
        <v>3</v>
      </c>
      <c r="F8" s="84" t="s">
        <v>239</v>
      </c>
      <c r="G8" s="84">
        <v>5</v>
      </c>
      <c r="H8" s="84">
        <v>6</v>
      </c>
      <c r="I8" s="84"/>
      <c r="J8" s="84"/>
      <c r="K8" s="84"/>
      <c r="L8" s="84" t="s">
        <v>240</v>
      </c>
      <c r="M8" s="84">
        <v>8</v>
      </c>
      <c r="N8" s="84">
        <v>9</v>
      </c>
      <c r="O8" s="84" t="s">
        <v>241</v>
      </c>
      <c r="P8" s="84">
        <v>11</v>
      </c>
      <c r="Q8" s="84">
        <v>12</v>
      </c>
      <c r="R8" s="84" t="s">
        <v>227</v>
      </c>
      <c r="S8" s="84" t="s">
        <v>234</v>
      </c>
      <c r="T8" s="84">
        <v>15</v>
      </c>
      <c r="U8" s="84" t="s">
        <v>233</v>
      </c>
    </row>
    <row r="9" spans="1:21" s="230" customFormat="1" ht="20.25" customHeight="1" x14ac:dyDescent="0.25">
      <c r="A9" s="227"/>
      <c r="B9" s="228" t="s">
        <v>106</v>
      </c>
      <c r="C9" s="229">
        <f t="shared" ref="C9:Q9" si="0">SUM(C10:C17)</f>
        <v>1180108.1769999999</v>
      </c>
      <c r="D9" s="229">
        <f t="shared" si="0"/>
        <v>354913.67790000001</v>
      </c>
      <c r="E9" s="229">
        <f t="shared" si="0"/>
        <v>825194.49910000002</v>
      </c>
      <c r="F9" s="229">
        <f t="shared" si="0"/>
        <v>389355.78399999999</v>
      </c>
      <c r="G9" s="229">
        <f t="shared" si="0"/>
        <v>29953.9</v>
      </c>
      <c r="H9" s="229">
        <f t="shared" si="0"/>
        <v>359401.88400000002</v>
      </c>
      <c r="I9" s="229">
        <f t="shared" si="0"/>
        <v>0</v>
      </c>
      <c r="J9" s="229">
        <f t="shared" si="0"/>
        <v>0</v>
      </c>
      <c r="K9" s="229">
        <f t="shared" si="0"/>
        <v>0</v>
      </c>
      <c r="L9" s="229">
        <f t="shared" si="0"/>
        <v>232665.39299999998</v>
      </c>
      <c r="M9" s="229">
        <f t="shared" si="0"/>
        <v>69162.277899999986</v>
      </c>
      <c r="N9" s="229">
        <f t="shared" si="0"/>
        <v>163503.11509999997</v>
      </c>
      <c r="O9" s="229">
        <f t="shared" si="0"/>
        <v>558087</v>
      </c>
      <c r="P9" s="229">
        <f t="shared" si="0"/>
        <v>255797.5</v>
      </c>
      <c r="Q9" s="229">
        <f t="shared" si="0"/>
        <v>302289.5</v>
      </c>
      <c r="R9" s="229">
        <f t="shared" ref="R9:U9" si="1">SUM(R10:R17)</f>
        <v>118010.81770000001</v>
      </c>
      <c r="S9" s="229">
        <f t="shared" si="1"/>
        <v>1062097.3593000001</v>
      </c>
      <c r="T9" s="229">
        <f t="shared" si="1"/>
        <v>354913.67790000001</v>
      </c>
      <c r="U9" s="229">
        <f t="shared" si="1"/>
        <v>707183.6814</v>
      </c>
    </row>
    <row r="10" spans="1:21" ht="20.25" customHeight="1" x14ac:dyDescent="0.25">
      <c r="A10" s="114">
        <v>1</v>
      </c>
      <c r="B10" s="115" t="s">
        <v>108</v>
      </c>
      <c r="C10" s="116">
        <f t="shared" ref="C10:C15" si="2">D10+E10</f>
        <v>36092.299999999996</v>
      </c>
      <c r="D10" s="116">
        <f>G10+J10+M10+P10</f>
        <v>9363.6899999999987</v>
      </c>
      <c r="E10" s="116">
        <f>H10+K10+N10+Q10</f>
        <v>26728.609999999997</v>
      </c>
      <c r="F10" s="117">
        <f>'Biểu 02'!C18</f>
        <v>4880</v>
      </c>
      <c r="G10" s="118"/>
      <c r="H10" s="117">
        <f>F10</f>
        <v>4880</v>
      </c>
      <c r="I10" s="117"/>
      <c r="J10" s="117"/>
      <c r="K10" s="117"/>
      <c r="L10" s="117">
        <f>'Biểu 01 DA'!R8</f>
        <v>31212.3</v>
      </c>
      <c r="M10" s="117">
        <f>L10*0.3</f>
        <v>9363.6899999999987</v>
      </c>
      <c r="N10" s="117">
        <f>L10*0.7</f>
        <v>21848.609999999997</v>
      </c>
      <c r="O10" s="117"/>
      <c r="P10" s="117"/>
      <c r="Q10" s="117"/>
      <c r="R10" s="117">
        <f>C10*0.1</f>
        <v>3609.2299999999996</v>
      </c>
      <c r="S10" s="117">
        <f>C10-R10</f>
        <v>32483.069999999996</v>
      </c>
      <c r="T10" s="117">
        <f>D10</f>
        <v>9363.6899999999987</v>
      </c>
      <c r="U10" s="117">
        <f>E10-R10</f>
        <v>23119.379999999997</v>
      </c>
    </row>
    <row r="11" spans="1:21" ht="20.25" customHeight="1" x14ac:dyDescent="0.25">
      <c r="A11" s="103">
        <v>2</v>
      </c>
      <c r="B11" s="104" t="s">
        <v>109</v>
      </c>
      <c r="C11" s="105">
        <f t="shared" si="2"/>
        <v>171101.39299999998</v>
      </c>
      <c r="D11" s="105">
        <f>G11+J11+M11+P11</f>
        <v>47159.417899999993</v>
      </c>
      <c r="E11" s="105">
        <f t="shared" ref="D11:E15" si="3">H11+K11+N11+Q11</f>
        <v>123941.97509999998</v>
      </c>
      <c r="F11" s="106">
        <f>'Biểu 02'!C28</f>
        <v>20855</v>
      </c>
      <c r="G11" s="107">
        <f>F11*10%</f>
        <v>2085.5</v>
      </c>
      <c r="H11" s="106">
        <f>F11*90%</f>
        <v>18769.5</v>
      </c>
      <c r="I11" s="106"/>
      <c r="J11" s="106"/>
      <c r="K11" s="106"/>
      <c r="L11" s="106">
        <f>'Biểu 01 DA'!R14</f>
        <v>150246.39299999998</v>
      </c>
      <c r="M11" s="106">
        <f>L11*0.3</f>
        <v>45073.917899999993</v>
      </c>
      <c r="N11" s="106">
        <f>L11*0.7</f>
        <v>105172.47509999998</v>
      </c>
      <c r="O11" s="106"/>
      <c r="P11" s="106"/>
      <c r="Q11" s="106"/>
      <c r="R11" s="106">
        <f t="shared" ref="R11:R17" si="4">C11*0.1</f>
        <v>17110.139299999999</v>
      </c>
      <c r="S11" s="106">
        <f>C11-R11</f>
        <v>153991.25369999997</v>
      </c>
      <c r="T11" s="106">
        <f t="shared" ref="T11:T17" si="5">D11</f>
        <v>47159.417899999993</v>
      </c>
      <c r="U11" s="106">
        <f t="shared" ref="U11:U17" si="6">E11-R11</f>
        <v>106831.83579999999</v>
      </c>
    </row>
    <row r="12" spans="1:21" ht="20.25" customHeight="1" x14ac:dyDescent="0.25">
      <c r="A12" s="103">
        <v>3</v>
      </c>
      <c r="B12" s="104" t="s">
        <v>110</v>
      </c>
      <c r="C12" s="105">
        <f t="shared" si="2"/>
        <v>1206.7840000000001</v>
      </c>
      <c r="D12" s="105">
        <f>G12+J12+M12+P12</f>
        <v>0</v>
      </c>
      <c r="E12" s="105">
        <f t="shared" si="3"/>
        <v>1206.7840000000001</v>
      </c>
      <c r="F12" s="106">
        <f>'Biểu 02'!C42</f>
        <v>1206.7840000000001</v>
      </c>
      <c r="G12" s="107"/>
      <c r="H12" s="106">
        <f>F12</f>
        <v>1206.7840000000001</v>
      </c>
      <c r="I12" s="106"/>
      <c r="J12" s="106"/>
      <c r="K12" s="106"/>
      <c r="L12" s="106"/>
      <c r="M12" s="106">
        <f t="shared" ref="M12:M15" si="7">L12*10%</f>
        <v>0</v>
      </c>
      <c r="N12" s="106">
        <f t="shared" ref="N12:N15" si="8">L12*90%</f>
        <v>0</v>
      </c>
      <c r="O12" s="106"/>
      <c r="P12" s="106"/>
      <c r="Q12" s="106"/>
      <c r="R12" s="106">
        <f t="shared" si="4"/>
        <v>120.67840000000001</v>
      </c>
      <c r="S12" s="106">
        <f t="shared" ref="S12:S17" si="9">C12-R12</f>
        <v>1086.1056000000001</v>
      </c>
      <c r="T12" s="106">
        <f t="shared" si="5"/>
        <v>0</v>
      </c>
      <c r="U12" s="106">
        <f t="shared" si="6"/>
        <v>1086.1056000000001</v>
      </c>
    </row>
    <row r="13" spans="1:21" ht="20.25" customHeight="1" x14ac:dyDescent="0.25">
      <c r="A13" s="103">
        <v>5</v>
      </c>
      <c r="B13" s="104" t="s">
        <v>112</v>
      </c>
      <c r="C13" s="105">
        <f t="shared" si="2"/>
        <v>60224</v>
      </c>
      <c r="D13" s="105">
        <f t="shared" si="3"/>
        <v>11337</v>
      </c>
      <c r="E13" s="105">
        <f>H13+K13+N13+Q13</f>
        <v>48887</v>
      </c>
      <c r="F13" s="106">
        <f>'Biểu 02'!C50</f>
        <v>22434</v>
      </c>
      <c r="G13" s="107"/>
      <c r="H13" s="106">
        <f t="shared" ref="H13:H15" si="10">F13</f>
        <v>22434</v>
      </c>
      <c r="I13" s="106"/>
      <c r="J13" s="106"/>
      <c r="K13" s="106"/>
      <c r="L13" s="106">
        <f>'Biểu 01 DA'!R38</f>
        <v>0</v>
      </c>
      <c r="M13" s="106">
        <f t="shared" si="7"/>
        <v>0</v>
      </c>
      <c r="N13" s="106">
        <f t="shared" si="8"/>
        <v>0</v>
      </c>
      <c r="O13" s="106">
        <f>'Biểu 01 DA'!R36</f>
        <v>37790</v>
      </c>
      <c r="P13" s="106">
        <f>O13*30%</f>
        <v>11337</v>
      </c>
      <c r="Q13" s="106">
        <f>O13*70%</f>
        <v>26453</v>
      </c>
      <c r="R13" s="106">
        <f t="shared" si="4"/>
        <v>6022.4000000000005</v>
      </c>
      <c r="S13" s="106">
        <f t="shared" si="9"/>
        <v>54201.599999999999</v>
      </c>
      <c r="T13" s="106">
        <f t="shared" si="5"/>
        <v>11337</v>
      </c>
      <c r="U13" s="106">
        <f t="shared" si="6"/>
        <v>42864.6</v>
      </c>
    </row>
    <row r="14" spans="1:21" ht="20.25" customHeight="1" x14ac:dyDescent="0.25">
      <c r="A14" s="103">
        <v>6</v>
      </c>
      <c r="B14" s="104" t="s">
        <v>113</v>
      </c>
      <c r="C14" s="105">
        <f t="shared" si="2"/>
        <v>64919</v>
      </c>
      <c r="D14" s="105">
        <f t="shared" si="3"/>
        <v>14406.000000000002</v>
      </c>
      <c r="E14" s="105">
        <f t="shared" si="3"/>
        <v>50513</v>
      </c>
      <c r="F14" s="106">
        <f>'Biểu 02'!C58</f>
        <v>16899</v>
      </c>
      <c r="G14" s="107"/>
      <c r="H14" s="106">
        <f t="shared" si="10"/>
        <v>16899</v>
      </c>
      <c r="I14" s="106"/>
      <c r="J14" s="106"/>
      <c r="K14" s="106"/>
      <c r="L14" s="106">
        <f>'Biểu 01 DA'!R21</f>
        <v>48020.000000000007</v>
      </c>
      <c r="M14" s="106">
        <f>L14*0.3</f>
        <v>14406.000000000002</v>
      </c>
      <c r="N14" s="106">
        <f>L14*0.7</f>
        <v>33614</v>
      </c>
      <c r="O14" s="106"/>
      <c r="P14" s="106"/>
      <c r="Q14" s="106"/>
      <c r="R14" s="106">
        <f t="shared" si="4"/>
        <v>6491.9000000000005</v>
      </c>
      <c r="S14" s="106">
        <f t="shared" si="9"/>
        <v>58427.1</v>
      </c>
      <c r="T14" s="106">
        <f t="shared" si="5"/>
        <v>14406.000000000002</v>
      </c>
      <c r="U14" s="106">
        <f t="shared" si="6"/>
        <v>44021.1</v>
      </c>
    </row>
    <row r="15" spans="1:21" ht="20.25" customHeight="1" x14ac:dyDescent="0.25">
      <c r="A15" s="103">
        <v>7</v>
      </c>
      <c r="B15" s="104" t="s">
        <v>114</v>
      </c>
      <c r="C15" s="105">
        <f t="shared" si="2"/>
        <v>30965</v>
      </c>
      <c r="D15" s="105">
        <f t="shared" si="3"/>
        <v>0</v>
      </c>
      <c r="E15" s="105">
        <f t="shared" si="3"/>
        <v>30965</v>
      </c>
      <c r="F15" s="106">
        <f>'Biểu 02'!C66</f>
        <v>30965</v>
      </c>
      <c r="G15" s="107"/>
      <c r="H15" s="106">
        <f t="shared" si="10"/>
        <v>30965</v>
      </c>
      <c r="I15" s="106"/>
      <c r="J15" s="106"/>
      <c r="K15" s="106"/>
      <c r="L15" s="106">
        <v>0</v>
      </c>
      <c r="M15" s="106">
        <f t="shared" si="7"/>
        <v>0</v>
      </c>
      <c r="N15" s="106">
        <f t="shared" si="8"/>
        <v>0</v>
      </c>
      <c r="O15" s="106"/>
      <c r="P15" s="106"/>
      <c r="Q15" s="106"/>
      <c r="R15" s="106">
        <f t="shared" si="4"/>
        <v>3096.5</v>
      </c>
      <c r="S15" s="106">
        <f t="shared" si="9"/>
        <v>27868.5</v>
      </c>
      <c r="T15" s="106">
        <f t="shared" si="5"/>
        <v>0</v>
      </c>
      <c r="U15" s="106">
        <f t="shared" si="6"/>
        <v>27868.5</v>
      </c>
    </row>
    <row r="16" spans="1:21" ht="20.25" customHeight="1" x14ac:dyDescent="0.25">
      <c r="A16" s="103">
        <v>4</v>
      </c>
      <c r="B16" s="104" t="s">
        <v>111</v>
      </c>
      <c r="C16" s="105">
        <f>D16+E16</f>
        <v>16618.699999999997</v>
      </c>
      <c r="D16" s="105">
        <f>G16+J16+M16+P16</f>
        <v>318.67</v>
      </c>
      <c r="E16" s="105">
        <f>H16+K16+N16+Q16</f>
        <v>16300.029999999999</v>
      </c>
      <c r="F16" s="106">
        <f>'Biểu 02'!C74</f>
        <v>13432</v>
      </c>
      <c r="G16" s="107"/>
      <c r="H16" s="106">
        <f>F16</f>
        <v>13432</v>
      </c>
      <c r="I16" s="106"/>
      <c r="J16" s="106"/>
      <c r="K16" s="106"/>
      <c r="L16" s="106">
        <f>'Biểu 01 DA'!R11</f>
        <v>3186.7</v>
      </c>
      <c r="M16" s="106">
        <f>L16*10%</f>
        <v>318.67</v>
      </c>
      <c r="N16" s="106">
        <f>L16*90%</f>
        <v>2868.0299999999997</v>
      </c>
      <c r="O16" s="106"/>
      <c r="P16" s="106"/>
      <c r="Q16" s="106"/>
      <c r="R16" s="106">
        <f t="shared" si="4"/>
        <v>1661.87</v>
      </c>
      <c r="S16" s="106">
        <f t="shared" si="9"/>
        <v>14956.829999999998</v>
      </c>
      <c r="T16" s="106">
        <f t="shared" si="5"/>
        <v>318.67</v>
      </c>
      <c r="U16" s="106">
        <f t="shared" si="6"/>
        <v>14638.16</v>
      </c>
    </row>
    <row r="17" spans="1:21" ht="20.25" customHeight="1" x14ac:dyDescent="0.25">
      <c r="A17" s="108">
        <v>8</v>
      </c>
      <c r="B17" s="109" t="s">
        <v>107</v>
      </c>
      <c r="C17" s="110">
        <f>D17+E17</f>
        <v>798981</v>
      </c>
      <c r="D17" s="110">
        <f>G17+J17+M17+P17</f>
        <v>272328.90000000002</v>
      </c>
      <c r="E17" s="110">
        <f>H17+K17+N17+Q17</f>
        <v>526652.1</v>
      </c>
      <c r="F17" s="111">
        <f>'Biểu 02'!C82</f>
        <v>278684</v>
      </c>
      <c r="G17" s="112">
        <f>F17*10%</f>
        <v>27868.400000000001</v>
      </c>
      <c r="H17" s="111">
        <f>F17-G17</f>
        <v>250815.6</v>
      </c>
      <c r="I17" s="111"/>
      <c r="J17" s="111"/>
      <c r="K17" s="111"/>
      <c r="L17" s="111"/>
      <c r="M17" s="111"/>
      <c r="N17" s="111"/>
      <c r="O17" s="111">
        <f>'Biểu 01 DA'!R25</f>
        <v>520297</v>
      </c>
      <c r="P17" s="111">
        <f>('Biểu 01 DA'!R25-'Biểu 01 DA'!U35)*50%</f>
        <v>244460.5</v>
      </c>
      <c r="Q17" s="111">
        <f>('Biểu 01 DA'!R25-'Biểu 01 DA'!U35)*50%+'Biểu 01 DA'!U35</f>
        <v>275836.5</v>
      </c>
      <c r="R17" s="111">
        <f t="shared" si="4"/>
        <v>79898.100000000006</v>
      </c>
      <c r="S17" s="106">
        <f t="shared" si="9"/>
        <v>719082.9</v>
      </c>
      <c r="T17" s="106">
        <f t="shared" si="5"/>
        <v>272328.90000000002</v>
      </c>
      <c r="U17" s="106">
        <f t="shared" si="6"/>
        <v>446754</v>
      </c>
    </row>
  </sheetData>
  <mergeCells count="25">
    <mergeCell ref="A4:A7"/>
    <mergeCell ref="B4:B7"/>
    <mergeCell ref="C4:E5"/>
    <mergeCell ref="F4:Q4"/>
    <mergeCell ref="F5:H5"/>
    <mergeCell ref="I5:K5"/>
    <mergeCell ref="L5:N5"/>
    <mergeCell ref="P6:Q6"/>
    <mergeCell ref="O5:Q5"/>
    <mergeCell ref="R3:U3"/>
    <mergeCell ref="A2:U2"/>
    <mergeCell ref="A1:U1"/>
    <mergeCell ref="J6:K6"/>
    <mergeCell ref="L6:L7"/>
    <mergeCell ref="S6:S7"/>
    <mergeCell ref="T6:U6"/>
    <mergeCell ref="S4:U5"/>
    <mergeCell ref="C6:C7"/>
    <mergeCell ref="D6:E6"/>
    <mergeCell ref="F6:F7"/>
    <mergeCell ref="G6:H6"/>
    <mergeCell ref="I6:I7"/>
    <mergeCell ref="R4:R7"/>
    <mergeCell ref="M6:N6"/>
    <mergeCell ref="O6:O7"/>
  </mergeCells>
  <pageMargins left="0.78740157480314965" right="0.39370078740157483" top="0.78740157480314965" bottom="0.78740157480314965" header="0.31496062992125984" footer="0.31496062992125984"/>
  <pageSetup paperSize="9" scale="71" orientation="landscape" horizontalDpi="200" r:id="rId1"/>
  <headerFooter>
    <oddHeader>&amp;RBiểu 03</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50"/>
  <sheetViews>
    <sheetView topLeftCell="A10" workbookViewId="0">
      <selection activeCell="G53" sqref="G53"/>
    </sheetView>
  </sheetViews>
  <sheetFormatPr defaultRowHeight="15.75" x14ac:dyDescent="0.25"/>
  <cols>
    <col min="2" max="2" width="19.25" customWidth="1"/>
    <col min="3" max="5" width="16.25" customWidth="1"/>
    <col min="6" max="6" width="11.875" bestFit="1" customWidth="1"/>
    <col min="7" max="7" width="10.875" bestFit="1" customWidth="1"/>
    <col min="8" max="9" width="11.875" bestFit="1" customWidth="1"/>
    <col min="10" max="10" width="9.5" customWidth="1"/>
    <col min="11" max="11" width="15.375" customWidth="1"/>
    <col min="12" max="14" width="11.875" bestFit="1" customWidth="1"/>
  </cols>
  <sheetData>
    <row r="1" spans="2:14" x14ac:dyDescent="0.25">
      <c r="B1" s="243" t="s">
        <v>249</v>
      </c>
      <c r="C1" s="243"/>
    </row>
    <row r="2" spans="2:14" s="98" customFormat="1" ht="15.75" customHeight="1" x14ac:dyDescent="0.25">
      <c r="B2" s="400" t="s">
        <v>105</v>
      </c>
      <c r="C2" s="405" t="s">
        <v>247</v>
      </c>
      <c r="D2" s="406"/>
      <c r="E2" s="407"/>
      <c r="F2" s="414" t="s">
        <v>192</v>
      </c>
      <c r="G2" s="415"/>
      <c r="H2" s="416"/>
      <c r="I2" s="424" t="s">
        <v>202</v>
      </c>
      <c r="J2" s="425"/>
      <c r="K2" s="425"/>
      <c r="L2" s="425"/>
      <c r="M2" s="425"/>
      <c r="N2" s="426"/>
    </row>
    <row r="3" spans="2:14" s="98" customFormat="1" ht="21.75" customHeight="1" x14ac:dyDescent="0.25">
      <c r="B3" s="401"/>
      <c r="C3" s="408"/>
      <c r="D3" s="409"/>
      <c r="E3" s="410"/>
      <c r="F3" s="417"/>
      <c r="G3" s="418"/>
      <c r="H3" s="419"/>
      <c r="I3" s="404" t="s">
        <v>214</v>
      </c>
      <c r="J3" s="404"/>
      <c r="K3" s="404"/>
      <c r="L3" s="404" t="s">
        <v>248</v>
      </c>
      <c r="M3" s="404"/>
      <c r="N3" s="404"/>
    </row>
    <row r="4" spans="2:14" s="98" customFormat="1" ht="22.5" customHeight="1" x14ac:dyDescent="0.25">
      <c r="B4" s="401"/>
      <c r="C4" s="411"/>
      <c r="D4" s="412"/>
      <c r="E4" s="413"/>
      <c r="F4" s="394" t="s">
        <v>168</v>
      </c>
      <c r="G4" s="394" t="s">
        <v>171</v>
      </c>
      <c r="H4" s="394"/>
      <c r="I4" s="394" t="s">
        <v>168</v>
      </c>
      <c r="J4" s="394" t="s">
        <v>171</v>
      </c>
      <c r="K4" s="394"/>
      <c r="L4" s="394" t="s">
        <v>168</v>
      </c>
      <c r="M4" s="394" t="s">
        <v>171</v>
      </c>
      <c r="N4" s="394"/>
    </row>
    <row r="5" spans="2:14" s="98" customFormat="1" ht="24.75" customHeight="1" x14ac:dyDescent="0.25">
      <c r="B5" s="402"/>
      <c r="C5" s="119" t="s">
        <v>246</v>
      </c>
      <c r="D5" s="84" t="s">
        <v>169</v>
      </c>
      <c r="E5" s="84" t="s">
        <v>170</v>
      </c>
      <c r="F5" s="394"/>
      <c r="G5" s="84" t="s">
        <v>169</v>
      </c>
      <c r="H5" s="84" t="s">
        <v>170</v>
      </c>
      <c r="I5" s="394"/>
      <c r="J5" s="84" t="s">
        <v>169</v>
      </c>
      <c r="K5" s="84" t="s">
        <v>170</v>
      </c>
      <c r="L5" s="394"/>
      <c r="M5" s="84" t="s">
        <v>169</v>
      </c>
      <c r="N5" s="84" t="s">
        <v>170</v>
      </c>
    </row>
    <row r="6" spans="2:14" x14ac:dyDescent="0.25">
      <c r="B6" s="240" t="s">
        <v>108</v>
      </c>
      <c r="C6" s="241">
        <f>F6++I6+L6</f>
        <v>3450.3</v>
      </c>
      <c r="D6" s="241">
        <f>G6+J6+M6</f>
        <v>647.19000000000005</v>
      </c>
      <c r="E6" s="241">
        <f>H6+K6+N6</f>
        <v>2803.11</v>
      </c>
      <c r="F6" s="242">
        <v>1293</v>
      </c>
      <c r="G6" s="242"/>
      <c r="H6" s="242">
        <f>F6</f>
        <v>1293</v>
      </c>
      <c r="I6" s="242">
        <f>'Biểu 01 DA'!U8</f>
        <v>2157.3000000000002</v>
      </c>
      <c r="J6" s="242">
        <f>I6*0.3</f>
        <v>647.19000000000005</v>
      </c>
      <c r="K6" s="242">
        <f>I6*0.7</f>
        <v>1510.1100000000001</v>
      </c>
      <c r="L6" s="242"/>
      <c r="M6" s="242"/>
      <c r="N6" s="242"/>
    </row>
    <row r="7" spans="2:14" x14ac:dyDescent="0.25">
      <c r="B7" s="240" t="s">
        <v>109</v>
      </c>
      <c r="C7" s="241">
        <f t="shared" ref="C7:C13" si="0">F7++I7+L7</f>
        <v>11380</v>
      </c>
      <c r="D7" s="241">
        <f t="shared" ref="D7:D13" si="1">G7+J7+M7</f>
        <v>3138</v>
      </c>
      <c r="E7" s="241">
        <f t="shared" ref="E7:E13" si="2">H7+K7+N7</f>
        <v>8242</v>
      </c>
      <c r="F7" s="242">
        <v>1380</v>
      </c>
      <c r="G7" s="242">
        <f>F7*0.1</f>
        <v>138</v>
      </c>
      <c r="H7" s="242">
        <f>F7*0.9</f>
        <v>1242</v>
      </c>
      <c r="I7" s="242">
        <f>'Biểu 01 DA'!U14</f>
        <v>10000</v>
      </c>
      <c r="J7" s="242">
        <f>I7*0.3</f>
        <v>3000</v>
      </c>
      <c r="K7" s="242">
        <f>I7*0.7</f>
        <v>7000</v>
      </c>
      <c r="L7" s="242"/>
      <c r="M7" s="242"/>
      <c r="N7" s="242"/>
    </row>
    <row r="8" spans="2:14" x14ac:dyDescent="0.25">
      <c r="B8" s="240" t="s">
        <v>110</v>
      </c>
      <c r="C8" s="241">
        <f t="shared" si="0"/>
        <v>130</v>
      </c>
      <c r="D8" s="241">
        <f t="shared" si="1"/>
        <v>0</v>
      </c>
      <c r="E8" s="241">
        <f t="shared" si="2"/>
        <v>130</v>
      </c>
      <c r="F8" s="242">
        <f>'Biểu 02'!F41</f>
        <v>130</v>
      </c>
      <c r="G8" s="242"/>
      <c r="H8" s="242">
        <f t="shared" ref="H8:H12" si="3">F8</f>
        <v>130</v>
      </c>
      <c r="I8" s="242"/>
      <c r="J8" s="242"/>
      <c r="K8" s="242"/>
      <c r="L8" s="242"/>
      <c r="M8" s="242"/>
      <c r="N8" s="242"/>
    </row>
    <row r="9" spans="2:14" x14ac:dyDescent="0.25">
      <c r="B9" s="240" t="s">
        <v>112</v>
      </c>
      <c r="C9" s="241">
        <f t="shared" si="0"/>
        <v>5000</v>
      </c>
      <c r="D9" s="241">
        <f t="shared" si="1"/>
        <v>0</v>
      </c>
      <c r="E9" s="241">
        <f t="shared" si="2"/>
        <v>5000</v>
      </c>
      <c r="F9" s="242">
        <f>'Biểu 02'!F49</f>
        <v>5000</v>
      </c>
      <c r="G9" s="242"/>
      <c r="H9" s="242">
        <f t="shared" si="3"/>
        <v>5000</v>
      </c>
      <c r="I9" s="242"/>
      <c r="J9" s="242"/>
      <c r="K9" s="242"/>
      <c r="L9" s="242"/>
      <c r="M9" s="242"/>
      <c r="N9" s="242"/>
    </row>
    <row r="10" spans="2:14" x14ac:dyDescent="0.25">
      <c r="B10" s="240" t="s">
        <v>113</v>
      </c>
      <c r="C10" s="241">
        <f t="shared" si="0"/>
        <v>3000</v>
      </c>
      <c r="D10" s="241">
        <f t="shared" si="1"/>
        <v>0</v>
      </c>
      <c r="E10" s="241">
        <f t="shared" si="2"/>
        <v>3000</v>
      </c>
      <c r="F10" s="242">
        <f>'Biểu 02'!F57</f>
        <v>3000</v>
      </c>
      <c r="G10" s="242"/>
      <c r="H10" s="242">
        <f t="shared" si="3"/>
        <v>3000</v>
      </c>
      <c r="I10" s="242"/>
      <c r="J10" s="242"/>
      <c r="K10" s="242"/>
      <c r="L10" s="242"/>
      <c r="M10" s="242"/>
      <c r="N10" s="242"/>
    </row>
    <row r="11" spans="2:14" x14ac:dyDescent="0.25">
      <c r="B11" s="240" t="s">
        <v>114</v>
      </c>
      <c r="C11" s="241">
        <f t="shared" si="0"/>
        <v>6712</v>
      </c>
      <c r="D11" s="241">
        <f t="shared" si="1"/>
        <v>0</v>
      </c>
      <c r="E11" s="241">
        <f t="shared" si="2"/>
        <v>6712</v>
      </c>
      <c r="F11" s="242">
        <f>'Biểu 02'!F65</f>
        <v>6712</v>
      </c>
      <c r="G11" s="242"/>
      <c r="H11" s="242">
        <f t="shared" si="3"/>
        <v>6712</v>
      </c>
      <c r="I11" s="242"/>
      <c r="J11" s="242"/>
      <c r="K11" s="242"/>
      <c r="L11" s="242"/>
      <c r="M11" s="242"/>
      <c r="N11" s="242"/>
    </row>
    <row r="12" spans="2:14" x14ac:dyDescent="0.25">
      <c r="B12" s="240" t="s">
        <v>111</v>
      </c>
      <c r="C12" s="241">
        <f t="shared" si="0"/>
        <v>2983</v>
      </c>
      <c r="D12" s="241">
        <f t="shared" si="1"/>
        <v>114.89999999999999</v>
      </c>
      <c r="E12" s="241">
        <f t="shared" si="2"/>
        <v>2868.1</v>
      </c>
      <c r="F12" s="242">
        <f>'Biểu 02'!F74</f>
        <v>2600</v>
      </c>
      <c r="G12" s="242"/>
      <c r="H12" s="242">
        <f t="shared" si="3"/>
        <v>2600</v>
      </c>
      <c r="I12" s="242">
        <f>'Biểu 01 DA'!U11</f>
        <v>383</v>
      </c>
      <c r="J12" s="242">
        <f>I12*0.3</f>
        <v>114.89999999999999</v>
      </c>
      <c r="K12" s="242">
        <f>I12*0.7</f>
        <v>268.09999999999997</v>
      </c>
      <c r="L12" s="242"/>
      <c r="M12" s="242"/>
      <c r="N12" s="242"/>
    </row>
    <row r="13" spans="2:14" x14ac:dyDescent="0.25">
      <c r="B13" s="240" t="s">
        <v>107</v>
      </c>
      <c r="C13" s="241">
        <f t="shared" si="0"/>
        <v>175383</v>
      </c>
      <c r="D13" s="241">
        <f t="shared" si="1"/>
        <v>40000.699999999997</v>
      </c>
      <c r="E13" s="241">
        <f t="shared" si="2"/>
        <v>135382.29999999999</v>
      </c>
      <c r="F13" s="242">
        <f>'Biểu 02'!F82</f>
        <v>80007</v>
      </c>
      <c r="G13" s="242">
        <f>F13*0.1</f>
        <v>8000.7000000000007</v>
      </c>
      <c r="H13" s="242">
        <f>F13*0.9</f>
        <v>72006.3</v>
      </c>
      <c r="I13" s="242"/>
      <c r="J13" s="242"/>
      <c r="K13" s="242"/>
      <c r="L13" s="242">
        <v>95376</v>
      </c>
      <c r="M13" s="242">
        <f>50%*('Biểu 01 DA'!U31+'Biểu 01 DA'!U27)</f>
        <v>32000</v>
      </c>
      <c r="N13" s="242">
        <f>50%*('Biểu 01 DA'!U31+'Biểu 01 DA'!U27)+'Biểu 01 DA'!U35</f>
        <v>63376</v>
      </c>
    </row>
    <row r="14" spans="2:14" x14ac:dyDescent="0.25">
      <c r="B14" s="240" t="s">
        <v>168</v>
      </c>
      <c r="C14" s="241">
        <f>SUM(C6:C13)</f>
        <v>208038.3</v>
      </c>
      <c r="D14" s="241">
        <f>SUM(D6:D13)</f>
        <v>43900.789999999994</v>
      </c>
      <c r="E14" s="241">
        <f>SUM(E6:E13)</f>
        <v>164137.50999999998</v>
      </c>
      <c r="F14" s="241">
        <f t="shared" ref="F14:N14" si="4">SUM(F6:F13)</f>
        <v>100122</v>
      </c>
      <c r="G14" s="241">
        <f t="shared" si="4"/>
        <v>8138.7000000000007</v>
      </c>
      <c r="H14" s="241">
        <f t="shared" si="4"/>
        <v>91983.3</v>
      </c>
      <c r="I14" s="241">
        <f t="shared" si="4"/>
        <v>12540.3</v>
      </c>
      <c r="J14" s="241">
        <f t="shared" si="4"/>
        <v>3762.09</v>
      </c>
      <c r="K14" s="241">
        <f t="shared" si="4"/>
        <v>8778.2100000000009</v>
      </c>
      <c r="L14" s="241">
        <f t="shared" si="4"/>
        <v>95376</v>
      </c>
      <c r="M14" s="241">
        <f t="shared" si="4"/>
        <v>32000</v>
      </c>
      <c r="N14" s="241">
        <f t="shared" si="4"/>
        <v>63376</v>
      </c>
    </row>
    <row r="16" spans="2:14" x14ac:dyDescent="0.25">
      <c r="B16" s="243" t="s">
        <v>244</v>
      </c>
      <c r="C16" s="243"/>
    </row>
    <row r="17" spans="2:15" s="33" customFormat="1" x14ac:dyDescent="0.25">
      <c r="B17" s="436" t="s">
        <v>105</v>
      </c>
      <c r="C17" s="427" t="s">
        <v>250</v>
      </c>
      <c r="D17" s="428"/>
      <c r="E17" s="429"/>
      <c r="F17" s="439" t="s">
        <v>192</v>
      </c>
      <c r="G17" s="440"/>
      <c r="H17" s="441"/>
      <c r="I17" s="446" t="s">
        <v>202</v>
      </c>
      <c r="J17" s="447"/>
      <c r="K17" s="447"/>
      <c r="L17" s="447"/>
      <c r="M17" s="447"/>
      <c r="N17" s="448"/>
      <c r="O17" s="247"/>
    </row>
    <row r="18" spans="2:15" s="33" customFormat="1" ht="22.5" customHeight="1" x14ac:dyDescent="0.25">
      <c r="B18" s="437"/>
      <c r="C18" s="430"/>
      <c r="D18" s="431"/>
      <c r="E18" s="432"/>
      <c r="F18" s="442"/>
      <c r="G18" s="443"/>
      <c r="H18" s="444"/>
      <c r="I18" s="445" t="s">
        <v>214</v>
      </c>
      <c r="J18" s="445"/>
      <c r="K18" s="445"/>
      <c r="L18" s="445" t="s">
        <v>248</v>
      </c>
      <c r="M18" s="445"/>
      <c r="N18" s="445"/>
      <c r="O18" s="247"/>
    </row>
    <row r="19" spans="2:15" s="33" customFormat="1" ht="23.25" customHeight="1" x14ac:dyDescent="0.25">
      <c r="B19" s="437"/>
      <c r="C19" s="433"/>
      <c r="D19" s="434"/>
      <c r="E19" s="435"/>
      <c r="F19" s="423" t="s">
        <v>168</v>
      </c>
      <c r="G19" s="423" t="s">
        <v>171</v>
      </c>
      <c r="H19" s="423"/>
      <c r="I19" s="423" t="s">
        <v>168</v>
      </c>
      <c r="J19" s="423" t="s">
        <v>171</v>
      </c>
      <c r="K19" s="423"/>
      <c r="L19" s="423" t="s">
        <v>168</v>
      </c>
      <c r="M19" s="423" t="s">
        <v>171</v>
      </c>
      <c r="N19" s="423"/>
      <c r="O19" s="247"/>
    </row>
    <row r="20" spans="2:15" s="33" customFormat="1" ht="26.25" customHeight="1" x14ac:dyDescent="0.25">
      <c r="B20" s="438"/>
      <c r="C20" s="249" t="s">
        <v>246</v>
      </c>
      <c r="D20" s="248" t="s">
        <v>169</v>
      </c>
      <c r="E20" s="248" t="s">
        <v>170</v>
      </c>
      <c r="F20" s="423"/>
      <c r="G20" s="248" t="s">
        <v>169</v>
      </c>
      <c r="H20" s="248" t="s">
        <v>170</v>
      </c>
      <c r="I20" s="423"/>
      <c r="J20" s="248" t="s">
        <v>169</v>
      </c>
      <c r="K20" s="248" t="s">
        <v>170</v>
      </c>
      <c r="L20" s="423"/>
      <c r="M20" s="248" t="s">
        <v>169</v>
      </c>
      <c r="N20" s="248" t="s">
        <v>170</v>
      </c>
      <c r="O20" s="247"/>
    </row>
    <row r="21" spans="2:15" x14ac:dyDescent="0.25">
      <c r="B21" s="250" t="s">
        <v>108</v>
      </c>
      <c r="C21" s="251">
        <f>F21++I21+L21</f>
        <v>5400</v>
      </c>
      <c r="D21" s="251">
        <f>G21+J21+M21</f>
        <v>1200</v>
      </c>
      <c r="E21" s="251">
        <f>H21+K21+N21</f>
        <v>4200</v>
      </c>
      <c r="F21" s="252">
        <f>'Biểu 02'!H18</f>
        <v>1400</v>
      </c>
      <c r="G21" s="252"/>
      <c r="H21" s="252">
        <f>F21</f>
        <v>1400</v>
      </c>
      <c r="I21" s="252">
        <f>'Biểu 01 DA'!V8</f>
        <v>4000</v>
      </c>
      <c r="J21" s="252">
        <f>I21*0.3</f>
        <v>1200</v>
      </c>
      <c r="K21" s="252">
        <f>I21*0.7</f>
        <v>2800</v>
      </c>
      <c r="L21" s="252"/>
      <c r="M21" s="252"/>
      <c r="N21" s="252"/>
      <c r="O21" s="253"/>
    </row>
    <row r="22" spans="2:15" x14ac:dyDescent="0.25">
      <c r="B22" s="250" t="s">
        <v>109</v>
      </c>
      <c r="C22" s="251">
        <f t="shared" ref="C22:C28" si="5">F22++I22+L22</f>
        <v>36000</v>
      </c>
      <c r="D22" s="251">
        <f t="shared" ref="D22:D28" si="6">G22+J22+M22</f>
        <v>8800</v>
      </c>
      <c r="E22" s="251">
        <f t="shared" ref="E22:E28" si="7">H22+K22+N22</f>
        <v>27200</v>
      </c>
      <c r="F22" s="252">
        <f>'Biểu 02'!H28</f>
        <v>10000</v>
      </c>
      <c r="G22" s="252">
        <f>F22*0.1</f>
        <v>1000</v>
      </c>
      <c r="H22" s="252">
        <f>F22*0.9</f>
        <v>9000</v>
      </c>
      <c r="I22" s="252">
        <f>'Biểu 01 DA'!V14</f>
        <v>26000</v>
      </c>
      <c r="J22" s="252">
        <f>I22*0.3</f>
        <v>7800</v>
      </c>
      <c r="K22" s="252">
        <f>I22*0.7</f>
        <v>18200</v>
      </c>
      <c r="L22" s="252"/>
      <c r="M22" s="252"/>
      <c r="N22" s="252"/>
      <c r="O22" s="253"/>
    </row>
    <row r="23" spans="2:15" x14ac:dyDescent="0.25">
      <c r="B23" s="250" t="s">
        <v>110</v>
      </c>
      <c r="C23" s="251">
        <f t="shared" si="5"/>
        <v>100</v>
      </c>
      <c r="D23" s="251">
        <f t="shared" si="6"/>
        <v>0</v>
      </c>
      <c r="E23" s="251">
        <f t="shared" si="7"/>
        <v>100</v>
      </c>
      <c r="F23" s="252">
        <f>'Biểu 02'!H42</f>
        <v>100</v>
      </c>
      <c r="G23" s="252"/>
      <c r="H23" s="252">
        <f t="shared" ref="H23:H27" si="8">F23</f>
        <v>100</v>
      </c>
      <c r="I23" s="252">
        <v>0</v>
      </c>
      <c r="J23" s="252"/>
      <c r="K23" s="252"/>
      <c r="L23" s="252"/>
      <c r="M23" s="252"/>
      <c r="N23" s="252"/>
      <c r="O23" s="253"/>
    </row>
    <row r="24" spans="2:15" x14ac:dyDescent="0.25">
      <c r="B24" s="250" t="s">
        <v>112</v>
      </c>
      <c r="C24" s="251">
        <f t="shared" si="5"/>
        <v>27000</v>
      </c>
      <c r="D24" s="251">
        <f t="shared" si="6"/>
        <v>6300</v>
      </c>
      <c r="E24" s="251">
        <f t="shared" si="7"/>
        <v>20700</v>
      </c>
      <c r="F24" s="252">
        <f>'Biểu 02'!H50</f>
        <v>6000</v>
      </c>
      <c r="G24" s="252"/>
      <c r="H24" s="252">
        <f t="shared" si="8"/>
        <v>6000</v>
      </c>
      <c r="I24" s="252"/>
      <c r="J24" s="252"/>
      <c r="K24" s="252"/>
      <c r="L24" s="252">
        <f>'Biểu 01 DA'!V36</f>
        <v>21000</v>
      </c>
      <c r="M24" s="252">
        <f>L24*0.3</f>
        <v>6300</v>
      </c>
      <c r="N24" s="252">
        <f>L24*0.7</f>
        <v>14699.999999999998</v>
      </c>
      <c r="O24" s="253"/>
    </row>
    <row r="25" spans="2:15" x14ac:dyDescent="0.25">
      <c r="B25" s="250" t="s">
        <v>113</v>
      </c>
      <c r="C25" s="251">
        <f t="shared" si="5"/>
        <v>20000</v>
      </c>
      <c r="D25" s="251">
        <f t="shared" si="6"/>
        <v>4950</v>
      </c>
      <c r="E25" s="251">
        <f t="shared" si="7"/>
        <v>15050</v>
      </c>
      <c r="F25" s="252">
        <f>'Biểu 02'!H58</f>
        <v>3500</v>
      </c>
      <c r="G25" s="252"/>
      <c r="H25" s="252">
        <f t="shared" si="8"/>
        <v>3500</v>
      </c>
      <c r="I25" s="257">
        <f>2500+14000</f>
        <v>16500</v>
      </c>
      <c r="J25" s="252">
        <f>I25*0.3</f>
        <v>4950</v>
      </c>
      <c r="K25" s="252">
        <f>I25*0.7</f>
        <v>11550</v>
      </c>
      <c r="L25" s="252"/>
      <c r="M25" s="252"/>
      <c r="N25" s="252"/>
      <c r="O25" s="253"/>
    </row>
    <row r="26" spans="2:15" x14ac:dyDescent="0.25">
      <c r="B26" s="250" t="s">
        <v>114</v>
      </c>
      <c r="C26" s="251">
        <f t="shared" si="5"/>
        <v>6500</v>
      </c>
      <c r="D26" s="251">
        <f t="shared" si="6"/>
        <v>0</v>
      </c>
      <c r="E26" s="251">
        <f t="shared" si="7"/>
        <v>6500</v>
      </c>
      <c r="F26" s="252">
        <v>6500</v>
      </c>
      <c r="G26" s="252"/>
      <c r="H26" s="252">
        <f t="shared" si="8"/>
        <v>6500</v>
      </c>
      <c r="I26" s="252"/>
      <c r="J26" s="252"/>
      <c r="K26" s="252"/>
      <c r="L26" s="252">
        <v>0</v>
      </c>
      <c r="M26" s="252"/>
      <c r="N26" s="252"/>
      <c r="O26" s="253"/>
    </row>
    <row r="27" spans="2:15" x14ac:dyDescent="0.25">
      <c r="B27" s="250" t="s">
        <v>111</v>
      </c>
      <c r="C27" s="251">
        <f t="shared" si="5"/>
        <v>3000</v>
      </c>
      <c r="D27" s="251">
        <f t="shared" si="6"/>
        <v>120</v>
      </c>
      <c r="E27" s="251">
        <f t="shared" si="7"/>
        <v>2880</v>
      </c>
      <c r="F27" s="252">
        <f>'Biểu 02'!H74</f>
        <v>1800</v>
      </c>
      <c r="G27" s="252"/>
      <c r="H27" s="252">
        <f t="shared" si="8"/>
        <v>1800</v>
      </c>
      <c r="I27" s="252">
        <f>'Biểu 01 DA'!V11</f>
        <v>1200</v>
      </c>
      <c r="J27" s="252">
        <f>I27*0.1</f>
        <v>120</v>
      </c>
      <c r="K27" s="252">
        <f>I27*0.9</f>
        <v>1080</v>
      </c>
      <c r="L27" s="252"/>
      <c r="M27" s="252"/>
      <c r="N27" s="252"/>
      <c r="O27" s="253"/>
    </row>
    <row r="28" spans="2:15" x14ac:dyDescent="0.25">
      <c r="B28" s="250" t="s">
        <v>107</v>
      </c>
      <c r="C28" s="251">
        <f t="shared" si="5"/>
        <v>235000</v>
      </c>
      <c r="D28" s="251">
        <f t="shared" si="6"/>
        <v>101900</v>
      </c>
      <c r="E28" s="251">
        <f t="shared" si="7"/>
        <v>133100</v>
      </c>
      <c r="F28" s="252">
        <f>'Biểu 02'!H82</f>
        <v>39000</v>
      </c>
      <c r="G28" s="252">
        <f>F28*0.1</f>
        <v>3900</v>
      </c>
      <c r="H28" s="252">
        <f>F28*0.9</f>
        <v>35100</v>
      </c>
      <c r="I28" s="252"/>
      <c r="J28" s="252"/>
      <c r="K28" s="252"/>
      <c r="L28" s="257">
        <f>'Biểu 01 DA'!V25</f>
        <v>196000</v>
      </c>
      <c r="M28" s="252">
        <f>L28*0.5</f>
        <v>98000</v>
      </c>
      <c r="N28" s="252">
        <f>L28*0.5</f>
        <v>98000</v>
      </c>
      <c r="O28" s="253"/>
    </row>
    <row r="29" spans="2:15" s="33" customFormat="1" x14ac:dyDescent="0.25">
      <c r="B29" s="254" t="s">
        <v>246</v>
      </c>
      <c r="C29" s="255">
        <f>SUM(C21:C28)</f>
        <v>333000</v>
      </c>
      <c r="D29" s="255">
        <f t="shared" ref="D29:N29" si="9">SUM(D21:D28)</f>
        <v>123270</v>
      </c>
      <c r="E29" s="255">
        <f t="shared" si="9"/>
        <v>209730</v>
      </c>
      <c r="F29" s="255">
        <f t="shared" si="9"/>
        <v>68300</v>
      </c>
      <c r="G29" s="255">
        <f t="shared" si="9"/>
        <v>4900</v>
      </c>
      <c r="H29" s="255">
        <f t="shared" si="9"/>
        <v>63400</v>
      </c>
      <c r="I29" s="255">
        <f t="shared" si="9"/>
        <v>47700</v>
      </c>
      <c r="J29" s="255">
        <f t="shared" si="9"/>
        <v>14070</v>
      </c>
      <c r="K29" s="255">
        <f t="shared" si="9"/>
        <v>33630</v>
      </c>
      <c r="L29" s="255">
        <f t="shared" si="9"/>
        <v>217000</v>
      </c>
      <c r="M29" s="255">
        <f t="shared" si="9"/>
        <v>104300</v>
      </c>
      <c r="N29" s="255">
        <f t="shared" si="9"/>
        <v>112700</v>
      </c>
      <c r="O29" s="247"/>
    </row>
    <row r="31" spans="2:15" x14ac:dyDescent="0.25">
      <c r="B31" s="243" t="s">
        <v>245</v>
      </c>
    </row>
    <row r="32" spans="2:15" s="33" customFormat="1" x14ac:dyDescent="0.25">
      <c r="B32" s="400" t="s">
        <v>105</v>
      </c>
      <c r="C32" s="405" t="s">
        <v>251</v>
      </c>
      <c r="D32" s="406"/>
      <c r="E32" s="407"/>
      <c r="F32" s="414" t="s">
        <v>192</v>
      </c>
      <c r="G32" s="415"/>
      <c r="H32" s="416"/>
      <c r="I32" s="420" t="s">
        <v>202</v>
      </c>
      <c r="J32" s="421"/>
      <c r="K32" s="421"/>
      <c r="L32" s="421"/>
      <c r="M32" s="421"/>
      <c r="N32" s="422"/>
    </row>
    <row r="33" spans="2:14" x14ac:dyDescent="0.25">
      <c r="B33" s="401"/>
      <c r="C33" s="408"/>
      <c r="D33" s="409"/>
      <c r="E33" s="410"/>
      <c r="F33" s="417"/>
      <c r="G33" s="418"/>
      <c r="H33" s="419"/>
      <c r="I33" s="403" t="s">
        <v>214</v>
      </c>
      <c r="J33" s="403"/>
      <c r="K33" s="403"/>
      <c r="L33" s="403" t="s">
        <v>248</v>
      </c>
      <c r="M33" s="403"/>
      <c r="N33" s="403"/>
    </row>
    <row r="34" spans="2:14" x14ac:dyDescent="0.25">
      <c r="B34" s="401"/>
      <c r="C34" s="411"/>
      <c r="D34" s="412"/>
      <c r="E34" s="413"/>
      <c r="F34" s="394" t="s">
        <v>168</v>
      </c>
      <c r="G34" s="394" t="s">
        <v>171</v>
      </c>
      <c r="H34" s="394"/>
      <c r="I34" s="394" t="s">
        <v>168</v>
      </c>
      <c r="J34" s="394" t="s">
        <v>171</v>
      </c>
      <c r="K34" s="394"/>
      <c r="L34" s="394" t="s">
        <v>168</v>
      </c>
      <c r="M34" s="394" t="s">
        <v>171</v>
      </c>
      <c r="N34" s="394"/>
    </row>
    <row r="35" spans="2:14" x14ac:dyDescent="0.25">
      <c r="B35" s="402"/>
      <c r="C35" s="119" t="s">
        <v>246</v>
      </c>
      <c r="D35" s="84" t="s">
        <v>169</v>
      </c>
      <c r="E35" s="84" t="s">
        <v>170</v>
      </c>
      <c r="F35" s="394"/>
      <c r="G35" s="84" t="s">
        <v>169</v>
      </c>
      <c r="H35" s="84" t="s">
        <v>170</v>
      </c>
      <c r="I35" s="394"/>
      <c r="J35" s="84" t="s">
        <v>169</v>
      </c>
      <c r="K35" s="84" t="s">
        <v>170</v>
      </c>
      <c r="L35" s="394"/>
      <c r="M35" s="84" t="s">
        <v>169</v>
      </c>
      <c r="N35" s="84" t="s">
        <v>170</v>
      </c>
    </row>
    <row r="36" spans="2:14" x14ac:dyDescent="0.25">
      <c r="B36" s="240" t="s">
        <v>108</v>
      </c>
      <c r="C36" s="241">
        <f>F36++I36+L36</f>
        <v>22900</v>
      </c>
      <c r="D36" s="241">
        <f>G36+J36+M36</f>
        <v>6825</v>
      </c>
      <c r="E36" s="241">
        <f>H36+K36+N36</f>
        <v>16074.999999999998</v>
      </c>
      <c r="F36" s="242">
        <f>'Biểu 02'!I18</f>
        <v>150</v>
      </c>
      <c r="G36" s="242"/>
      <c r="H36" s="242">
        <f>F36</f>
        <v>150</v>
      </c>
      <c r="I36" s="273">
        <v>22750</v>
      </c>
      <c r="J36" s="273">
        <f>I36*0.3</f>
        <v>6825</v>
      </c>
      <c r="K36" s="273">
        <f>I36*0.7</f>
        <v>15924.999999999998</v>
      </c>
      <c r="L36" s="242"/>
      <c r="M36" s="242"/>
      <c r="N36" s="242"/>
    </row>
    <row r="37" spans="2:14" x14ac:dyDescent="0.25">
      <c r="B37" s="240" t="s">
        <v>109</v>
      </c>
      <c r="C37" s="241">
        <f t="shared" ref="C37:C42" si="10">F37++I37+L37</f>
        <v>81250</v>
      </c>
      <c r="D37" s="241">
        <f t="shared" ref="D37:D43" si="11">G37+J37+M37</f>
        <v>24175</v>
      </c>
      <c r="E37" s="241">
        <f t="shared" ref="E37:E43" si="12">H37+K37+N37</f>
        <v>57075</v>
      </c>
      <c r="F37" s="242">
        <f>'Biểu 02'!I28</f>
        <v>1000</v>
      </c>
      <c r="G37" s="242">
        <f>F37*0.1</f>
        <v>100</v>
      </c>
      <c r="H37" s="242">
        <f>F37*0.9</f>
        <v>900</v>
      </c>
      <c r="I37" s="242">
        <f>'Biểu 01 DA'!W14</f>
        <v>80250</v>
      </c>
      <c r="J37" s="242">
        <f>I37*0.3</f>
        <v>24075</v>
      </c>
      <c r="K37" s="242">
        <f>I37*0.7</f>
        <v>56175</v>
      </c>
      <c r="L37" s="242"/>
      <c r="M37" s="242"/>
      <c r="N37" s="242"/>
    </row>
    <row r="38" spans="2:14" x14ac:dyDescent="0.25">
      <c r="B38" s="240" t="s">
        <v>110</v>
      </c>
      <c r="C38" s="241">
        <f t="shared" si="10"/>
        <v>100</v>
      </c>
      <c r="D38" s="241">
        <f t="shared" si="11"/>
        <v>0</v>
      </c>
      <c r="E38" s="241">
        <f t="shared" si="12"/>
        <v>100</v>
      </c>
      <c r="F38" s="242">
        <f>'Biểu 02'!I42</f>
        <v>100</v>
      </c>
      <c r="G38" s="242"/>
      <c r="H38" s="242">
        <f t="shared" ref="H38:H42" si="13">F38</f>
        <v>100</v>
      </c>
      <c r="I38" s="242">
        <v>0</v>
      </c>
      <c r="J38" s="242"/>
      <c r="K38" s="242"/>
      <c r="L38" s="242"/>
      <c r="M38" s="242"/>
      <c r="N38" s="242"/>
    </row>
    <row r="39" spans="2:14" x14ac:dyDescent="0.25">
      <c r="B39" s="240" t="s">
        <v>112</v>
      </c>
      <c r="C39" s="241">
        <f t="shared" si="10"/>
        <v>6000</v>
      </c>
      <c r="D39" s="241">
        <f t="shared" si="11"/>
        <v>0</v>
      </c>
      <c r="E39" s="241">
        <f t="shared" si="12"/>
        <v>6000</v>
      </c>
      <c r="F39" s="242">
        <f>'Biểu 02'!I50</f>
        <v>6000</v>
      </c>
      <c r="G39" s="242"/>
      <c r="H39" s="242">
        <f t="shared" si="13"/>
        <v>6000</v>
      </c>
      <c r="I39" s="242">
        <v>0</v>
      </c>
      <c r="J39" s="242"/>
      <c r="K39" s="242"/>
      <c r="L39" s="242">
        <f>'Biểu 01 DA'!V54</f>
        <v>0</v>
      </c>
      <c r="M39" s="242">
        <f>L39*0.3</f>
        <v>0</v>
      </c>
      <c r="N39" s="242">
        <f>L39*0.7</f>
        <v>0</v>
      </c>
    </row>
    <row r="40" spans="2:14" x14ac:dyDescent="0.25">
      <c r="B40" s="240" t="s">
        <v>113</v>
      </c>
      <c r="C40" s="241">
        <f t="shared" si="10"/>
        <v>34520.000000000007</v>
      </c>
      <c r="D40" s="241">
        <f t="shared" si="11"/>
        <v>9456.0000000000018</v>
      </c>
      <c r="E40" s="241">
        <f t="shared" si="12"/>
        <v>25064.000000000004</v>
      </c>
      <c r="F40" s="242">
        <f>'Biểu 02'!I58</f>
        <v>3000</v>
      </c>
      <c r="G40" s="242"/>
      <c r="H40" s="242">
        <f t="shared" si="13"/>
        <v>3000</v>
      </c>
      <c r="I40" s="242">
        <f>'Biểu 01 DA'!W21</f>
        <v>31520.000000000007</v>
      </c>
      <c r="J40" s="242">
        <f>I40*0.3</f>
        <v>9456.0000000000018</v>
      </c>
      <c r="K40" s="242">
        <f>I40*0.7</f>
        <v>22064.000000000004</v>
      </c>
      <c r="L40" s="242">
        <f>'Biểu 01 DA'!V40</f>
        <v>0</v>
      </c>
      <c r="M40" s="242"/>
      <c r="N40" s="242"/>
    </row>
    <row r="41" spans="2:14" x14ac:dyDescent="0.25">
      <c r="B41" s="240" t="s">
        <v>114</v>
      </c>
      <c r="C41" s="241">
        <f t="shared" si="10"/>
        <v>6508</v>
      </c>
      <c r="D41" s="241">
        <f t="shared" si="11"/>
        <v>0</v>
      </c>
      <c r="E41" s="241">
        <f t="shared" si="12"/>
        <v>6508</v>
      </c>
      <c r="F41" s="242">
        <f>'Biểu 02'!I66</f>
        <v>6508</v>
      </c>
      <c r="G41" s="242"/>
      <c r="H41" s="242">
        <f t="shared" si="13"/>
        <v>6508</v>
      </c>
      <c r="I41" s="242">
        <v>0</v>
      </c>
      <c r="J41" s="242"/>
      <c r="K41" s="242"/>
      <c r="L41" s="242">
        <v>0</v>
      </c>
      <c r="M41" s="242"/>
      <c r="N41" s="242"/>
    </row>
    <row r="42" spans="2:14" x14ac:dyDescent="0.25">
      <c r="B42" s="240" t="s">
        <v>111</v>
      </c>
      <c r="C42" s="241">
        <f t="shared" si="10"/>
        <v>3000</v>
      </c>
      <c r="D42" s="241">
        <f t="shared" si="11"/>
        <v>120</v>
      </c>
      <c r="E42" s="241">
        <f t="shared" si="12"/>
        <v>2880</v>
      </c>
      <c r="F42" s="242">
        <f>'Biểu 02'!I74</f>
        <v>1800</v>
      </c>
      <c r="G42" s="242"/>
      <c r="H42" s="242">
        <f t="shared" si="13"/>
        <v>1800</v>
      </c>
      <c r="I42" s="242">
        <f>'Biểu 01 DA'!W11</f>
        <v>1200</v>
      </c>
      <c r="J42" s="242">
        <f>I42*0.1</f>
        <v>120</v>
      </c>
      <c r="K42" s="242">
        <f>I42*0.9</f>
        <v>1080</v>
      </c>
      <c r="L42" s="242"/>
      <c r="M42" s="242"/>
      <c r="N42" s="242"/>
    </row>
    <row r="43" spans="2:14" x14ac:dyDescent="0.25">
      <c r="B43" s="240" t="s">
        <v>107</v>
      </c>
      <c r="C43" s="241">
        <f>F43++I43+L43</f>
        <v>226400</v>
      </c>
      <c r="D43" s="241">
        <f t="shared" si="11"/>
        <v>97600</v>
      </c>
      <c r="E43" s="241">
        <f t="shared" si="12"/>
        <v>128800</v>
      </c>
      <c r="F43" s="242">
        <f>'Biểu 02'!I82</f>
        <v>39000</v>
      </c>
      <c r="G43" s="242">
        <f>F43*0.1</f>
        <v>3900</v>
      </c>
      <c r="H43" s="242">
        <f>F43*0.9</f>
        <v>35100</v>
      </c>
      <c r="I43" s="242">
        <v>0</v>
      </c>
      <c r="J43" s="242"/>
      <c r="K43" s="242"/>
      <c r="L43" s="242">
        <f>'Biểu 01 DA'!W25</f>
        <v>187400</v>
      </c>
      <c r="M43" s="242">
        <f>L43*0.5</f>
        <v>93700</v>
      </c>
      <c r="N43" s="242">
        <f>L43*0.5</f>
        <v>93700</v>
      </c>
    </row>
    <row r="44" spans="2:14" x14ac:dyDescent="0.25">
      <c r="B44" s="240"/>
      <c r="C44" s="241">
        <f>SUM(C36:C43)</f>
        <v>380678</v>
      </c>
      <c r="D44" s="241">
        <f>SUM(D36:D43)</f>
        <v>138176</v>
      </c>
      <c r="E44" s="241">
        <f>SUM(E36:E43)</f>
        <v>242502</v>
      </c>
      <c r="F44" s="241">
        <f t="shared" ref="F44:N44" si="14">SUM(F36:F43)</f>
        <v>57558</v>
      </c>
      <c r="G44" s="241">
        <f t="shared" si="14"/>
        <v>4000</v>
      </c>
      <c r="H44" s="241">
        <f t="shared" si="14"/>
        <v>53558</v>
      </c>
      <c r="I44" s="241">
        <f t="shared" si="14"/>
        <v>135720</v>
      </c>
      <c r="J44" s="241">
        <f t="shared" si="14"/>
        <v>40476</v>
      </c>
      <c r="K44" s="241">
        <f t="shared" si="14"/>
        <v>95244</v>
      </c>
      <c r="L44" s="241">
        <f t="shared" si="14"/>
        <v>187400</v>
      </c>
      <c r="M44" s="241">
        <f t="shared" si="14"/>
        <v>93700</v>
      </c>
      <c r="N44" s="241">
        <f t="shared" si="14"/>
        <v>93700</v>
      </c>
    </row>
    <row r="46" spans="2:14" hidden="1" x14ac:dyDescent="0.25">
      <c r="B46" t="s">
        <v>252</v>
      </c>
      <c r="C46" s="119" t="s">
        <v>246</v>
      </c>
      <c r="D46" s="84" t="s">
        <v>169</v>
      </c>
      <c r="E46" s="84" t="s">
        <v>170</v>
      </c>
    </row>
    <row r="47" spans="2:14" hidden="1" x14ac:dyDescent="0.25">
      <c r="C47" s="239">
        <f>C44+C29+C14</f>
        <v>921716.3</v>
      </c>
      <c r="D47" s="239">
        <f t="shared" ref="D47:E47" si="15">D44+D29+D14</f>
        <v>305346.78999999998</v>
      </c>
      <c r="E47" s="239">
        <f t="shared" si="15"/>
        <v>616369.51</v>
      </c>
    </row>
    <row r="48" spans="2:14" s="246" customFormat="1" ht="78.75" hidden="1" x14ac:dyDescent="0.25">
      <c r="B48" s="244" t="s">
        <v>228</v>
      </c>
      <c r="C48" s="245">
        <f>C47*0.1</f>
        <v>92171.63</v>
      </c>
      <c r="D48" s="245">
        <f t="shared" ref="D48:E48" si="16">D47*0.1</f>
        <v>30534.679</v>
      </c>
      <c r="E48" s="245">
        <f t="shared" si="16"/>
        <v>61636.951000000001</v>
      </c>
    </row>
    <row r="49" spans="2:5" hidden="1" x14ac:dyDescent="0.25">
      <c r="B49" t="s">
        <v>253</v>
      </c>
      <c r="C49" s="239">
        <f>C47-C48</f>
        <v>829544.67</v>
      </c>
      <c r="D49" s="239">
        <f t="shared" ref="D49:E49" si="17">D47-D48</f>
        <v>274812.11099999998</v>
      </c>
      <c r="E49" s="239">
        <f t="shared" si="17"/>
        <v>554732.55900000001</v>
      </c>
    </row>
    <row r="50" spans="2:5" hidden="1" x14ac:dyDescent="0.25"/>
  </sheetData>
  <mergeCells count="36">
    <mergeCell ref="I2:N2"/>
    <mergeCell ref="C17:E19"/>
    <mergeCell ref="B17:B20"/>
    <mergeCell ref="F17:H18"/>
    <mergeCell ref="F19:F20"/>
    <mergeCell ref="G19:H19"/>
    <mergeCell ref="C2:E4"/>
    <mergeCell ref="B2:B5"/>
    <mergeCell ref="F2:H3"/>
    <mergeCell ref="F4:F5"/>
    <mergeCell ref="G4:H4"/>
    <mergeCell ref="I18:K18"/>
    <mergeCell ref="L18:N18"/>
    <mergeCell ref="I17:N17"/>
    <mergeCell ref="I19:I20"/>
    <mergeCell ref="J19:K19"/>
    <mergeCell ref="I4:I5"/>
    <mergeCell ref="J4:K4"/>
    <mergeCell ref="I3:K3"/>
    <mergeCell ref="C32:E34"/>
    <mergeCell ref="F32:H33"/>
    <mergeCell ref="I32:N32"/>
    <mergeCell ref="L34:L35"/>
    <mergeCell ref="M34:N34"/>
    <mergeCell ref="L33:N33"/>
    <mergeCell ref="L19:L20"/>
    <mergeCell ref="M19:N19"/>
    <mergeCell ref="L3:N3"/>
    <mergeCell ref="L4:L5"/>
    <mergeCell ref="M4:N4"/>
    <mergeCell ref="B32:B35"/>
    <mergeCell ref="F34:F35"/>
    <mergeCell ref="G34:H34"/>
    <mergeCell ref="I34:I35"/>
    <mergeCell ref="J34:K34"/>
    <mergeCell ref="I33:K3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4" sqref="A4:N17"/>
    </sheetView>
  </sheetViews>
  <sheetFormatPr defaultRowHeight="15.7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17"/>
  <sheetViews>
    <sheetView workbookViewId="0">
      <selection activeCell="E20" sqref="E20"/>
    </sheetView>
  </sheetViews>
  <sheetFormatPr defaultRowHeight="15.75" x14ac:dyDescent="0.25"/>
  <cols>
    <col min="1" max="1" width="6.375" customWidth="1"/>
    <col min="2" max="2" width="18" customWidth="1"/>
    <col min="3" max="3" width="9.125" bestFit="1" customWidth="1"/>
  </cols>
  <sheetData>
    <row r="2" spans="1:19" x14ac:dyDescent="0.25">
      <c r="A2" s="453" t="s">
        <v>166</v>
      </c>
      <c r="B2" s="453"/>
      <c r="C2" s="453"/>
      <c r="D2" s="453"/>
      <c r="E2" s="453"/>
      <c r="F2" s="453"/>
      <c r="G2" s="453"/>
      <c r="H2" s="453"/>
      <c r="I2" s="453"/>
      <c r="J2" s="453"/>
      <c r="K2" s="453"/>
      <c r="L2" s="453"/>
      <c r="M2" s="453"/>
      <c r="N2" s="453"/>
      <c r="O2" s="453"/>
      <c r="P2" s="453"/>
      <c r="Q2" s="453"/>
    </row>
    <row r="3" spans="1:19" ht="18.75" x14ac:dyDescent="0.25">
      <c r="A3" s="393" t="s">
        <v>167</v>
      </c>
      <c r="B3" s="393"/>
      <c r="C3" s="393"/>
      <c r="D3" s="393"/>
      <c r="E3" s="393"/>
      <c r="F3" s="393"/>
      <c r="G3" s="393"/>
      <c r="H3" s="393"/>
      <c r="I3" s="393"/>
      <c r="J3" s="393"/>
      <c r="K3" s="393"/>
      <c r="L3" s="393"/>
      <c r="M3" s="393"/>
      <c r="N3" s="393"/>
      <c r="O3" s="393"/>
      <c r="P3" s="393"/>
      <c r="Q3" s="393"/>
    </row>
    <row r="4" spans="1:19" x14ac:dyDescent="0.25">
      <c r="A4" s="454" t="s">
        <v>104</v>
      </c>
      <c r="B4" s="454"/>
      <c r="C4" s="454"/>
      <c r="D4" s="454"/>
      <c r="E4" s="454"/>
      <c r="F4" s="454"/>
      <c r="G4" s="454"/>
      <c r="H4" s="454"/>
      <c r="I4" s="454"/>
      <c r="J4" s="454"/>
      <c r="K4" s="454"/>
      <c r="L4" s="454"/>
      <c r="M4" s="454"/>
      <c r="N4" s="454"/>
      <c r="O4" s="454"/>
      <c r="P4" s="454"/>
      <c r="Q4" s="454"/>
    </row>
    <row r="5" spans="1:19" ht="22.5" customHeight="1" x14ac:dyDescent="0.25">
      <c r="A5" s="456" t="s">
        <v>0</v>
      </c>
      <c r="B5" s="456" t="s">
        <v>105</v>
      </c>
      <c r="C5" s="394" t="s">
        <v>178</v>
      </c>
      <c r="D5" s="394"/>
      <c r="E5" s="394"/>
      <c r="F5" s="399" t="s">
        <v>177</v>
      </c>
      <c r="G5" s="399"/>
      <c r="H5" s="399"/>
      <c r="I5" s="399"/>
      <c r="J5" s="399"/>
      <c r="K5" s="399"/>
      <c r="L5" s="399"/>
      <c r="M5" s="399"/>
      <c r="N5" s="399"/>
      <c r="O5" s="399"/>
      <c r="P5" s="399"/>
      <c r="Q5" s="399"/>
    </row>
    <row r="6" spans="1:19" ht="117" customHeight="1" x14ac:dyDescent="0.25">
      <c r="A6" s="457"/>
      <c r="B6" s="457"/>
      <c r="C6" s="394"/>
      <c r="D6" s="394"/>
      <c r="E6" s="394"/>
      <c r="F6" s="451" t="s">
        <v>173</v>
      </c>
      <c r="G6" s="455"/>
      <c r="H6" s="452"/>
      <c r="I6" s="451" t="s">
        <v>174</v>
      </c>
      <c r="J6" s="455"/>
      <c r="K6" s="452"/>
      <c r="L6" s="451" t="s">
        <v>175</v>
      </c>
      <c r="M6" s="455"/>
      <c r="N6" s="452"/>
      <c r="O6" s="451" t="s">
        <v>176</v>
      </c>
      <c r="P6" s="455"/>
      <c r="Q6" s="452"/>
    </row>
    <row r="7" spans="1:19" ht="15.75" customHeight="1" x14ac:dyDescent="0.25">
      <c r="A7" s="457"/>
      <c r="B7" s="457"/>
      <c r="C7" s="449" t="s">
        <v>168</v>
      </c>
      <c r="D7" s="451" t="s">
        <v>171</v>
      </c>
      <c r="E7" s="452"/>
      <c r="F7" s="449" t="s">
        <v>168</v>
      </c>
      <c r="G7" s="451" t="s">
        <v>171</v>
      </c>
      <c r="H7" s="452"/>
      <c r="I7" s="449" t="s">
        <v>168</v>
      </c>
      <c r="J7" s="451" t="s">
        <v>171</v>
      </c>
      <c r="K7" s="452"/>
      <c r="L7" s="449" t="s">
        <v>168</v>
      </c>
      <c r="M7" s="451" t="s">
        <v>171</v>
      </c>
      <c r="N7" s="452"/>
      <c r="O7" s="449" t="s">
        <v>168</v>
      </c>
      <c r="P7" s="451" t="s">
        <v>171</v>
      </c>
      <c r="Q7" s="452"/>
    </row>
    <row r="8" spans="1:19" ht="28.5" x14ac:dyDescent="0.25">
      <c r="A8" s="458"/>
      <c r="B8" s="458"/>
      <c r="C8" s="450"/>
      <c r="D8" s="91" t="s">
        <v>169</v>
      </c>
      <c r="E8" s="91" t="s">
        <v>170</v>
      </c>
      <c r="F8" s="450"/>
      <c r="G8" s="83" t="s">
        <v>169</v>
      </c>
      <c r="H8" s="83" t="s">
        <v>170</v>
      </c>
      <c r="I8" s="450"/>
      <c r="J8" s="84" t="s">
        <v>169</v>
      </c>
      <c r="K8" s="84" t="s">
        <v>170</v>
      </c>
      <c r="L8" s="450"/>
      <c r="M8" s="84" t="s">
        <v>169</v>
      </c>
      <c r="N8" s="84" t="s">
        <v>170</v>
      </c>
      <c r="O8" s="450"/>
      <c r="P8" s="84" t="s">
        <v>169</v>
      </c>
      <c r="Q8" s="84" t="s">
        <v>170</v>
      </c>
    </row>
    <row r="9" spans="1:19" s="95" customFormat="1" x14ac:dyDescent="0.25">
      <c r="A9" s="92"/>
      <c r="B9" s="93" t="s">
        <v>106</v>
      </c>
      <c r="C9" s="94">
        <f t="shared" ref="C9:E9" si="0">SUM(C10:C17)</f>
        <v>1708507.595429</v>
      </c>
      <c r="D9" s="94">
        <f t="shared" si="0"/>
        <v>323592.75954289996</v>
      </c>
      <c r="E9" s="94">
        <f t="shared" si="0"/>
        <v>1384914.8358860998</v>
      </c>
      <c r="F9" s="94">
        <f>SUM(F10:F17)</f>
        <v>1023892</v>
      </c>
      <c r="G9" s="94">
        <f>SUM(G10:G17)</f>
        <v>75404.800000000003</v>
      </c>
      <c r="H9" s="94">
        <f>SUM(H10:H17)</f>
        <v>948487.2</v>
      </c>
      <c r="I9" s="94">
        <f t="shared" ref="I9:N9" si="1">SUM(I10:I17)</f>
        <v>0</v>
      </c>
      <c r="J9" s="94">
        <f t="shared" si="1"/>
        <v>0</v>
      </c>
      <c r="K9" s="94">
        <f t="shared" si="1"/>
        <v>0</v>
      </c>
      <c r="L9" s="94">
        <f t="shared" si="1"/>
        <v>218858.59542900004</v>
      </c>
      <c r="M9" s="94">
        <f t="shared" si="1"/>
        <v>21885.859542900002</v>
      </c>
      <c r="N9" s="94">
        <f t="shared" si="1"/>
        <v>196972.73588610004</v>
      </c>
      <c r="O9" s="94">
        <f>SUM(O10:O17)</f>
        <v>465757</v>
      </c>
      <c r="P9" s="94">
        <f>SUM(P10:P17)</f>
        <v>226302.1</v>
      </c>
      <c r="Q9" s="94">
        <f>SUM(Q10:Q17)</f>
        <v>239454.9</v>
      </c>
      <c r="S9" s="96"/>
    </row>
    <row r="10" spans="1:19" x14ac:dyDescent="0.25">
      <c r="A10" s="85">
        <v>1</v>
      </c>
      <c r="B10" s="86" t="s">
        <v>107</v>
      </c>
      <c r="C10" s="87">
        <f>D10+E10</f>
        <v>1081623</v>
      </c>
      <c r="D10" s="87">
        <f>G10+J10+M10+P10</f>
        <v>281312.3</v>
      </c>
      <c r="E10" s="88">
        <f>H10+K10+N10+Q10</f>
        <v>800310.7</v>
      </c>
      <c r="F10" s="89">
        <v>648748</v>
      </c>
      <c r="G10" s="90">
        <f>F10*10%</f>
        <v>64874.8</v>
      </c>
      <c r="H10" s="89">
        <f>F10-G10</f>
        <v>583873.19999999995</v>
      </c>
      <c r="I10" s="89"/>
      <c r="J10" s="89"/>
      <c r="K10" s="89"/>
      <c r="L10" s="89"/>
      <c r="M10" s="89"/>
      <c r="N10" s="89"/>
      <c r="O10" s="89">
        <f>'Biểu 01 DA'!Q25</f>
        <v>432875</v>
      </c>
      <c r="P10" s="89">
        <f>O10*50%</f>
        <v>216437.5</v>
      </c>
      <c r="Q10" s="89">
        <f>O10*50%</f>
        <v>216437.5</v>
      </c>
      <c r="S10" s="97"/>
    </row>
    <row r="11" spans="1:19" x14ac:dyDescent="0.25">
      <c r="A11" s="85">
        <v>2</v>
      </c>
      <c r="B11" s="86" t="s">
        <v>108</v>
      </c>
      <c r="C11" s="87">
        <f t="shared" ref="C11:C17" si="2">D11+E11</f>
        <v>92878</v>
      </c>
      <c r="D11" s="87">
        <f t="shared" ref="D11:D17" si="3">G11+J11+M11+P11</f>
        <v>7900</v>
      </c>
      <c r="E11" s="88">
        <f t="shared" ref="E11:E17" si="4">H11+K11+N11+Q11</f>
        <v>84978</v>
      </c>
      <c r="F11" s="89">
        <v>13878</v>
      </c>
      <c r="G11" s="90"/>
      <c r="H11" s="89">
        <f>F11</f>
        <v>13878</v>
      </c>
      <c r="I11" s="89"/>
      <c r="J11" s="89"/>
      <c r="K11" s="89"/>
      <c r="L11" s="89">
        <f>'Biểu 01 DA'!Q8</f>
        <v>79000</v>
      </c>
      <c r="M11" s="89">
        <f>L11*10%</f>
        <v>7900</v>
      </c>
      <c r="N11" s="89">
        <f>L11*90%</f>
        <v>71100</v>
      </c>
      <c r="O11" s="89"/>
      <c r="P11" s="89"/>
      <c r="Q11" s="89"/>
      <c r="S11" s="97"/>
    </row>
    <row r="12" spans="1:19" x14ac:dyDescent="0.25">
      <c r="A12" s="85">
        <v>3</v>
      </c>
      <c r="B12" s="86" t="s">
        <v>109</v>
      </c>
      <c r="C12" s="87">
        <f t="shared" si="2"/>
        <v>211400</v>
      </c>
      <c r="D12" s="87">
        <f t="shared" si="3"/>
        <v>21140</v>
      </c>
      <c r="E12" s="88">
        <f t="shared" si="4"/>
        <v>190260</v>
      </c>
      <c r="F12" s="89">
        <v>105300</v>
      </c>
      <c r="G12" s="90">
        <f>F12*10%</f>
        <v>10530</v>
      </c>
      <c r="H12" s="89">
        <f>F12*90%</f>
        <v>94770</v>
      </c>
      <c r="I12" s="89"/>
      <c r="J12" s="89"/>
      <c r="K12" s="89"/>
      <c r="L12" s="89">
        <f>'Biểu 01 DA'!Q14</f>
        <v>106100</v>
      </c>
      <c r="M12" s="89">
        <f t="shared" ref="M12:M17" si="5">L12*10%</f>
        <v>10610</v>
      </c>
      <c r="N12" s="89">
        <f>L12*90%</f>
        <v>95490</v>
      </c>
      <c r="O12" s="89"/>
      <c r="P12" s="89"/>
      <c r="Q12" s="89"/>
    </row>
    <row r="13" spans="1:19" x14ac:dyDescent="0.25">
      <c r="A13" s="85">
        <v>4</v>
      </c>
      <c r="B13" s="86" t="s">
        <v>110</v>
      </c>
      <c r="C13" s="87">
        <f t="shared" si="2"/>
        <v>2315</v>
      </c>
      <c r="D13" s="87">
        <f t="shared" si="3"/>
        <v>0</v>
      </c>
      <c r="E13" s="88">
        <f t="shared" si="4"/>
        <v>2315</v>
      </c>
      <c r="F13" s="89">
        <v>2315</v>
      </c>
      <c r="G13" s="90"/>
      <c r="H13" s="89">
        <f>F13</f>
        <v>2315</v>
      </c>
      <c r="I13" s="89"/>
      <c r="J13" s="89"/>
      <c r="K13" s="89"/>
      <c r="L13" s="89"/>
      <c r="M13" s="89">
        <f t="shared" si="5"/>
        <v>0</v>
      </c>
      <c r="N13" s="89">
        <f t="shared" ref="N13:N17" si="6">L13*90%</f>
        <v>0</v>
      </c>
      <c r="O13" s="89"/>
      <c r="P13" s="89"/>
      <c r="Q13" s="89"/>
    </row>
    <row r="14" spans="1:19" x14ac:dyDescent="0.25">
      <c r="A14" s="85">
        <v>5</v>
      </c>
      <c r="B14" s="86" t="s">
        <v>111</v>
      </c>
      <c r="C14" s="87">
        <f t="shared" si="2"/>
        <v>16859.595429000001</v>
      </c>
      <c r="D14" s="87">
        <f t="shared" si="3"/>
        <v>295.95954289999992</v>
      </c>
      <c r="E14" s="88">
        <f t="shared" si="4"/>
        <v>16563.635886100001</v>
      </c>
      <c r="F14" s="89">
        <v>13900</v>
      </c>
      <c r="G14" s="90"/>
      <c r="H14" s="89">
        <f t="shared" ref="H14:H17" si="7">F14</f>
        <v>13900</v>
      </c>
      <c r="I14" s="89"/>
      <c r="J14" s="89"/>
      <c r="K14" s="89"/>
      <c r="L14" s="89">
        <f>'Biểu 01 DA'!Q11</f>
        <v>2959.5954289999991</v>
      </c>
      <c r="M14" s="89">
        <f t="shared" si="5"/>
        <v>295.95954289999992</v>
      </c>
      <c r="N14" s="89">
        <f t="shared" si="6"/>
        <v>2663.6358860999994</v>
      </c>
      <c r="O14" s="89"/>
      <c r="P14" s="89"/>
      <c r="Q14" s="89"/>
    </row>
    <row r="15" spans="1:19" x14ac:dyDescent="0.25">
      <c r="A15" s="85">
        <v>6</v>
      </c>
      <c r="B15" s="86" t="s">
        <v>112</v>
      </c>
      <c r="C15" s="87">
        <f t="shared" si="2"/>
        <v>191681</v>
      </c>
      <c r="D15" s="87">
        <f t="shared" si="3"/>
        <v>10954.5</v>
      </c>
      <c r="E15" s="88">
        <f t="shared" si="4"/>
        <v>180726.5</v>
      </c>
      <c r="F15" s="89">
        <v>147900</v>
      </c>
      <c r="G15" s="90"/>
      <c r="H15" s="89">
        <f t="shared" si="7"/>
        <v>147900</v>
      </c>
      <c r="I15" s="89"/>
      <c r="J15" s="89"/>
      <c r="K15" s="89"/>
      <c r="L15" s="89">
        <f>'Biểu 01 DA'!Q38</f>
        <v>10899</v>
      </c>
      <c r="M15" s="89">
        <f t="shared" si="5"/>
        <v>1089.9000000000001</v>
      </c>
      <c r="N15" s="89">
        <f t="shared" si="6"/>
        <v>9809.1</v>
      </c>
      <c r="O15" s="89">
        <f>'Biểu 01 DA'!Q36</f>
        <v>32882</v>
      </c>
      <c r="P15" s="89">
        <f>O15*30%</f>
        <v>9864.6</v>
      </c>
      <c r="Q15" s="89">
        <f>O15*70%</f>
        <v>23017.399999999998</v>
      </c>
    </row>
    <row r="16" spans="1:19" x14ac:dyDescent="0.25">
      <c r="A16" s="85">
        <v>7</v>
      </c>
      <c r="B16" s="86" t="s">
        <v>113</v>
      </c>
      <c r="C16" s="87">
        <f t="shared" si="2"/>
        <v>100330.00000000001</v>
      </c>
      <c r="D16" s="87">
        <f t="shared" si="3"/>
        <v>1990.0000000000016</v>
      </c>
      <c r="E16" s="88">
        <f t="shared" si="4"/>
        <v>98340.000000000015</v>
      </c>
      <c r="F16" s="89">
        <v>80430</v>
      </c>
      <c r="G16" s="90"/>
      <c r="H16" s="89">
        <f t="shared" si="7"/>
        <v>80430</v>
      </c>
      <c r="I16" s="89"/>
      <c r="J16" s="89"/>
      <c r="K16" s="89"/>
      <c r="L16" s="89">
        <f>'Biểu 01 DA'!Q21</f>
        <v>19900.000000000015</v>
      </c>
      <c r="M16" s="89">
        <f t="shared" si="5"/>
        <v>1990.0000000000016</v>
      </c>
      <c r="N16" s="89">
        <f t="shared" si="6"/>
        <v>17910.000000000015</v>
      </c>
      <c r="O16" s="89"/>
      <c r="P16" s="89"/>
      <c r="Q16" s="89"/>
    </row>
    <row r="17" spans="1:17" x14ac:dyDescent="0.25">
      <c r="A17" s="85">
        <v>8</v>
      </c>
      <c r="B17" s="86" t="s">
        <v>114</v>
      </c>
      <c r="C17" s="87">
        <f t="shared" si="2"/>
        <v>11421</v>
      </c>
      <c r="D17" s="87">
        <f t="shared" si="3"/>
        <v>0</v>
      </c>
      <c r="E17" s="88">
        <f t="shared" si="4"/>
        <v>11421</v>
      </c>
      <c r="F17" s="89">
        <v>11421</v>
      </c>
      <c r="G17" s="90"/>
      <c r="H17" s="89">
        <f t="shared" si="7"/>
        <v>11421</v>
      </c>
      <c r="I17" s="89"/>
      <c r="J17" s="89"/>
      <c r="K17" s="89"/>
      <c r="L17" s="89"/>
      <c r="M17" s="89">
        <f t="shared" si="5"/>
        <v>0</v>
      </c>
      <c r="N17" s="89">
        <f t="shared" si="6"/>
        <v>0</v>
      </c>
      <c r="O17" s="85"/>
      <c r="P17" s="85"/>
      <c r="Q17" s="85"/>
    </row>
  </sheetData>
  <mergeCells count="21">
    <mergeCell ref="A2:Q2"/>
    <mergeCell ref="A3:Q3"/>
    <mergeCell ref="A4:Q4"/>
    <mergeCell ref="F6:H6"/>
    <mergeCell ref="I6:K6"/>
    <mergeCell ref="O6:Q6"/>
    <mergeCell ref="A5:A8"/>
    <mergeCell ref="D7:E7"/>
    <mergeCell ref="F5:Q5"/>
    <mergeCell ref="C5:E6"/>
    <mergeCell ref="B5:B8"/>
    <mergeCell ref="O7:O8"/>
    <mergeCell ref="P7:Q7"/>
    <mergeCell ref="L6:N6"/>
    <mergeCell ref="L7:L8"/>
    <mergeCell ref="M7:N7"/>
    <mergeCell ref="C7:C8"/>
    <mergeCell ref="F7:F8"/>
    <mergeCell ref="G7:H7"/>
    <mergeCell ref="I7:I8"/>
    <mergeCell ref="J7:K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49cf939c33962b5e</MaTinBai>
    <_dlc_DocId xmlns="ae4e42cd-c673-4541-a17d-d353a4125f5e">DDYPFUVZ5X6F-6-6407</_dlc_DocId>
    <_dlc_DocIdUrl xmlns="ae4e42cd-c673-4541-a17d-d353a4125f5e">
      <Url>https://dbdc.backan.gov.vn/_layouts/15/DocIdRedir.aspx?ID=DDYPFUVZ5X6F-6-6407</Url>
      <Description>DDYPFUVZ5X6F-6-6407</Description>
    </_dlc_DocIdUrl>
  </documentManagement>
</p:properties>
</file>

<file path=customXml/itemProps1.xml><?xml version="1.0" encoding="utf-8"?>
<ds:datastoreItem xmlns:ds="http://schemas.openxmlformats.org/officeDocument/2006/customXml" ds:itemID="{0F466F08-9878-4563-916D-33A56706C48E}"/>
</file>

<file path=customXml/itemProps2.xml><?xml version="1.0" encoding="utf-8"?>
<ds:datastoreItem xmlns:ds="http://schemas.openxmlformats.org/officeDocument/2006/customXml" ds:itemID="{DFEF9FFE-D306-48F4-9E50-9FD2A94C628A}"/>
</file>

<file path=customXml/itemProps3.xml><?xml version="1.0" encoding="utf-8"?>
<ds:datastoreItem xmlns:ds="http://schemas.openxmlformats.org/officeDocument/2006/customXml" ds:itemID="{CB850289-2329-46F0-A2CB-67FF1D349E64}"/>
</file>

<file path=customXml/itemProps4.xml><?xml version="1.0" encoding="utf-8"?>
<ds:datastoreItem xmlns:ds="http://schemas.openxmlformats.org/officeDocument/2006/customXml" ds:itemID="{B91B79D3-E9C8-4B62-8967-A58BF94692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Sheet1</vt:lpstr>
      <vt:lpstr>Biểu 01 DA</vt:lpstr>
      <vt:lpstr>Biểu 02</vt:lpstr>
      <vt:lpstr>Biểu 03 Dự kiến phân bổ nguồn</vt:lpstr>
      <vt:lpstr>Dự kiến phân chia</vt:lpstr>
      <vt:lpstr>Sheet2</vt:lpstr>
      <vt:lpstr>Biểu 01-TH</vt:lpstr>
      <vt:lpstr>'Biểu 01 DA'!Print_Titles</vt:lpstr>
      <vt:lpstr>'Biểu 02'!Print_Titles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LANHM</cp:lastModifiedBy>
  <cp:lastPrinted>2023-12-05T11:33:36Z</cp:lastPrinted>
  <dcterms:created xsi:type="dcterms:W3CDTF">2022-09-23T09:23:09Z</dcterms:created>
  <dcterms:modified xsi:type="dcterms:W3CDTF">2023-12-05T11:45:45Z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116e758c-eb15-4db3-8191-78348a40c6e3</vt:lpwstr>
  </property>
</Properties>
</file>