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D:\Năm 2023\HĐND\to trinh 1029\"/>
    </mc:Choice>
  </mc:AlternateContent>
  <xr:revisionPtr revIDLastSave="0" documentId="13_ncr:1_{44177700-4155-4833-8597-D0ADAB9F41EB}" xr6:coauthVersionLast="47" xr6:coauthVersionMax="47" xr10:uidLastSave="{00000000-0000-0000-0000-000000000000}"/>
  <bookViews>
    <workbookView xWindow="-120" yWindow="-120" windowWidth="29040" windowHeight="15840" activeTab="4" xr2:uid="{00000000-000D-0000-FFFF-FFFF00000000}"/>
  </bookViews>
  <sheets>
    <sheet name="Biểu tổng hợp" sheetId="3" r:id="rId1"/>
    <sheet name="Biểu số 01" sheetId="1" r:id="rId2"/>
    <sheet name="Biểu số 02" sheetId="2" r:id="rId3"/>
    <sheet name="Biểu số 03" sheetId="5" r:id="rId4"/>
    <sheet name="Biểu số 3.1" sheetId="4" r:id="rId5"/>
  </sheets>
  <externalReferences>
    <externalReference r:id="rId6"/>
    <externalReference r:id="rId7"/>
    <externalReference r:id="rId8"/>
  </externalReferences>
  <definedNames>
    <definedName name="_xlnm.Print_Titles" localSheetId="1">'Biểu số 01'!$6:$7</definedName>
    <definedName name="_xlnm.Print_Titles" localSheetId="2">'Biểu số 02'!$5:$6</definedName>
    <definedName name="_xlnm.Print_Titles" localSheetId="3">'Biểu số 03'!$4:$4</definedName>
    <definedName name="_xlnm.Print_Titles" localSheetId="4">'Biểu số 3.1'!$4:$6</definedName>
    <definedName name="_xlnm.Print_Titles" localSheetId="0">'Biểu tổng hợp'!$4:$4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6" i="1" l="1"/>
  <c r="A2" i="4" l="1"/>
  <c r="A2" i="5"/>
  <c r="D31" i="5"/>
  <c r="D30" i="5" s="1"/>
  <c r="C30" i="3" s="1"/>
  <c r="D29" i="5"/>
  <c r="D28" i="5"/>
  <c r="D26" i="5"/>
  <c r="D25" i="5"/>
  <c r="D24" i="5"/>
  <c r="D22" i="5"/>
  <c r="D21" i="5"/>
  <c r="D20" i="5"/>
  <c r="D18" i="5"/>
  <c r="D17" i="5"/>
  <c r="D15" i="5"/>
  <c r="D14" i="5" s="1"/>
  <c r="C25" i="3" s="1"/>
  <c r="D13" i="5"/>
  <c r="D12" i="5"/>
  <c r="D9" i="5"/>
  <c r="D8" i="5"/>
  <c r="P93" i="4"/>
  <c r="Q93" i="4" s="1"/>
  <c r="O93" i="4"/>
  <c r="N93" i="4"/>
  <c r="M93" i="4"/>
  <c r="L93" i="4"/>
  <c r="L88" i="4" s="1"/>
  <c r="K93" i="4"/>
  <c r="J93" i="4"/>
  <c r="I93" i="4"/>
  <c r="Q91" i="4"/>
  <c r="Q88" i="4" s="1"/>
  <c r="P88" i="4"/>
  <c r="O88" i="4"/>
  <c r="N88" i="4"/>
  <c r="M88" i="4"/>
  <c r="K88" i="4"/>
  <c r="J88" i="4"/>
  <c r="I88" i="4"/>
  <c r="N87" i="4"/>
  <c r="M87" i="4"/>
  <c r="L87" i="4"/>
  <c r="I87" i="4"/>
  <c r="P86" i="4"/>
  <c r="P87" i="4" s="1"/>
  <c r="O86" i="4"/>
  <c r="O87" i="4" s="1"/>
  <c r="K86" i="4"/>
  <c r="K87" i="4" s="1"/>
  <c r="J85" i="4"/>
  <c r="J87" i="4" s="1"/>
  <c r="M84" i="4"/>
  <c r="M79" i="4" s="1"/>
  <c r="L84" i="4"/>
  <c r="I84" i="4"/>
  <c r="K83" i="4"/>
  <c r="Q82" i="4"/>
  <c r="O82" i="4"/>
  <c r="O84" i="4" s="1"/>
  <c r="K82" i="4"/>
  <c r="J81" i="4"/>
  <c r="N80" i="4"/>
  <c r="P80" i="4" s="1"/>
  <c r="J80" i="4"/>
  <c r="Q78" i="4"/>
  <c r="L78" i="4"/>
  <c r="K78" i="4"/>
  <c r="J78" i="4"/>
  <c r="O77" i="4"/>
  <c r="O78" i="4" s="1"/>
  <c r="N77" i="4"/>
  <c r="P77" i="4" s="1"/>
  <c r="M77" i="4"/>
  <c r="I77" i="4"/>
  <c r="I76" i="4"/>
  <c r="P75" i="4"/>
  <c r="I75" i="4"/>
  <c r="M74" i="4"/>
  <c r="N74" i="4" s="1"/>
  <c r="I74" i="4"/>
  <c r="L73" i="4"/>
  <c r="O72" i="4"/>
  <c r="O73" i="4" s="1"/>
  <c r="N72" i="4"/>
  <c r="N73" i="4" s="1"/>
  <c r="K72" i="4"/>
  <c r="K73" i="4" s="1"/>
  <c r="J72" i="4"/>
  <c r="I72" i="4"/>
  <c r="P71" i="4"/>
  <c r="M71" i="4"/>
  <c r="I71" i="4"/>
  <c r="J71" i="4" s="1"/>
  <c r="P70" i="4"/>
  <c r="M70" i="4"/>
  <c r="I70" i="4"/>
  <c r="J70" i="4" s="1"/>
  <c r="Q69" i="4"/>
  <c r="L69" i="4"/>
  <c r="P68" i="4"/>
  <c r="K68" i="4"/>
  <c r="J68" i="4"/>
  <c r="I68" i="4"/>
  <c r="O67" i="4"/>
  <c r="O69" i="4" s="1"/>
  <c r="N67" i="4"/>
  <c r="P67" i="4" s="1"/>
  <c r="M67" i="4"/>
  <c r="K67" i="4"/>
  <c r="J67" i="4"/>
  <c r="I67" i="4"/>
  <c r="P66" i="4"/>
  <c r="J66" i="4"/>
  <c r="I66" i="4"/>
  <c r="N65" i="4"/>
  <c r="P65" i="4" s="1"/>
  <c r="M65" i="4"/>
  <c r="J65" i="4"/>
  <c r="I65" i="4"/>
  <c r="Q63" i="4"/>
  <c r="O63" i="4"/>
  <c r="N63" i="4"/>
  <c r="L63" i="4"/>
  <c r="K63" i="4"/>
  <c r="J63" i="4"/>
  <c r="P62" i="4"/>
  <c r="M62" i="4"/>
  <c r="I62" i="4"/>
  <c r="P61" i="4"/>
  <c r="M61" i="4"/>
  <c r="I61" i="4"/>
  <c r="P60" i="4"/>
  <c r="M60" i="4"/>
  <c r="I60" i="4"/>
  <c r="P59" i="4"/>
  <c r="M59" i="4"/>
  <c r="I59" i="4"/>
  <c r="P58" i="4"/>
  <c r="M58" i="4"/>
  <c r="I58" i="4"/>
  <c r="O57" i="4"/>
  <c r="N57" i="4"/>
  <c r="L57" i="4"/>
  <c r="K57" i="4"/>
  <c r="J57" i="4"/>
  <c r="P56" i="4"/>
  <c r="Q56" i="4" s="1"/>
  <c r="Q57" i="4" s="1"/>
  <c r="M56" i="4"/>
  <c r="I56" i="4"/>
  <c r="P55" i="4"/>
  <c r="M55" i="4"/>
  <c r="I55" i="4"/>
  <c r="P54" i="4"/>
  <c r="M54" i="4"/>
  <c r="I54" i="4"/>
  <c r="P53" i="4"/>
  <c r="M53" i="4"/>
  <c r="I53" i="4"/>
  <c r="P52" i="4"/>
  <c r="M52" i="4"/>
  <c r="I52" i="4"/>
  <c r="O51" i="4"/>
  <c r="N51" i="4"/>
  <c r="L51" i="4"/>
  <c r="K51" i="4"/>
  <c r="J51" i="4"/>
  <c r="J46" i="4" s="1"/>
  <c r="P50" i="4"/>
  <c r="Q50" i="4" s="1"/>
  <c r="M50" i="4"/>
  <c r="I50" i="4"/>
  <c r="P49" i="4"/>
  <c r="M49" i="4"/>
  <c r="I49" i="4"/>
  <c r="P48" i="4"/>
  <c r="M48" i="4"/>
  <c r="I48" i="4"/>
  <c r="P47" i="4"/>
  <c r="M47" i="4"/>
  <c r="I47" i="4"/>
  <c r="O45" i="4"/>
  <c r="L45" i="4"/>
  <c r="K45" i="4"/>
  <c r="I45" i="4"/>
  <c r="P43" i="4"/>
  <c r="Q43" i="4" s="1"/>
  <c r="Q45" i="4" s="1"/>
  <c r="M43" i="4"/>
  <c r="M45" i="4" s="1"/>
  <c r="N41" i="4"/>
  <c r="P41" i="4" s="1"/>
  <c r="J41" i="4"/>
  <c r="J45" i="4" s="1"/>
  <c r="O40" i="4"/>
  <c r="O35" i="4" s="1"/>
  <c r="L40" i="4"/>
  <c r="K40" i="4"/>
  <c r="I40" i="4"/>
  <c r="I35" i="4" s="1"/>
  <c r="P38" i="4"/>
  <c r="Q38" i="4" s="1"/>
  <c r="M38" i="4"/>
  <c r="M40" i="4" s="1"/>
  <c r="J37" i="4"/>
  <c r="N36" i="4"/>
  <c r="N40" i="4" s="1"/>
  <c r="J36" i="4"/>
  <c r="O34" i="4"/>
  <c r="O31" i="4" s="1"/>
  <c r="N34" i="4"/>
  <c r="N31" i="4" s="1"/>
  <c r="L34" i="4"/>
  <c r="L31" i="4" s="1"/>
  <c r="K34" i="4"/>
  <c r="K31" i="4" s="1"/>
  <c r="J34" i="4"/>
  <c r="J31" i="4" s="1"/>
  <c r="Q33" i="4"/>
  <c r="M33" i="4"/>
  <c r="I33" i="4"/>
  <c r="P32" i="4"/>
  <c r="P34" i="4" s="1"/>
  <c r="M32" i="4"/>
  <c r="I32" i="4"/>
  <c r="Q30" i="4"/>
  <c r="O30" i="4"/>
  <c r="N30" i="4"/>
  <c r="K30" i="4"/>
  <c r="J30" i="4"/>
  <c r="P29" i="4"/>
  <c r="M29" i="4"/>
  <c r="I29" i="4"/>
  <c r="P28" i="4"/>
  <c r="M28" i="4"/>
  <c r="P27" i="4"/>
  <c r="M27" i="4"/>
  <c r="I27" i="4"/>
  <c r="O26" i="4"/>
  <c r="N26" i="4"/>
  <c r="N21" i="4" s="1"/>
  <c r="L26" i="4"/>
  <c r="L21" i="4" s="1"/>
  <c r="K26" i="4"/>
  <c r="J26" i="4"/>
  <c r="I25" i="4"/>
  <c r="P24" i="4"/>
  <c r="Q24" i="4" s="1"/>
  <c r="M24" i="4"/>
  <c r="I24" i="4"/>
  <c r="I23" i="4"/>
  <c r="P22" i="4"/>
  <c r="M22" i="4"/>
  <c r="I22" i="4"/>
  <c r="P19" i="4"/>
  <c r="O19" i="4"/>
  <c r="N19" i="4"/>
  <c r="L19" i="4"/>
  <c r="K19" i="4"/>
  <c r="J19" i="4"/>
  <c r="I19" i="4"/>
  <c r="Q18" i="4"/>
  <c r="M18" i="4"/>
  <c r="Q15" i="4"/>
  <c r="M15" i="4"/>
  <c r="P14" i="4"/>
  <c r="O14" i="4"/>
  <c r="N14" i="4"/>
  <c r="L14" i="4"/>
  <c r="K14" i="4"/>
  <c r="J14" i="4"/>
  <c r="I14" i="4"/>
  <c r="Q13" i="4"/>
  <c r="M13" i="4"/>
  <c r="Q10" i="4"/>
  <c r="M10" i="4"/>
  <c r="C19" i="3"/>
  <c r="C18" i="3" s="1"/>
  <c r="B17" i="3"/>
  <c r="B16" i="3"/>
  <c r="B15" i="3"/>
  <c r="B14" i="3"/>
  <c r="B13" i="3"/>
  <c r="B12" i="3"/>
  <c r="B11" i="3"/>
  <c r="B10" i="3"/>
  <c r="A3" i="2"/>
  <c r="G154" i="2"/>
  <c r="I154" i="2" s="1"/>
  <c r="J154" i="2" s="1"/>
  <c r="F154" i="2"/>
  <c r="D154" i="2"/>
  <c r="G153" i="2"/>
  <c r="I153" i="2" s="1"/>
  <c r="D153" i="2"/>
  <c r="F153" i="2" s="1"/>
  <c r="I152" i="2"/>
  <c r="F152" i="2"/>
  <c r="G151" i="2"/>
  <c r="I151" i="2" s="1"/>
  <c r="F151" i="2"/>
  <c r="I149" i="2"/>
  <c r="J149" i="2" s="1"/>
  <c r="F149" i="2"/>
  <c r="I148" i="2"/>
  <c r="F148" i="2"/>
  <c r="I147" i="2"/>
  <c r="F147" i="2"/>
  <c r="I144" i="2"/>
  <c r="F144" i="2"/>
  <c r="I143" i="2"/>
  <c r="F143" i="2"/>
  <c r="I142" i="2"/>
  <c r="F142" i="2"/>
  <c r="I140" i="2"/>
  <c r="F140" i="2"/>
  <c r="I139" i="2"/>
  <c r="F139" i="2"/>
  <c r="I138" i="2"/>
  <c r="J138" i="2" s="1"/>
  <c r="F138" i="2"/>
  <c r="I135" i="2"/>
  <c r="F135" i="2"/>
  <c r="I134" i="2"/>
  <c r="F134" i="2"/>
  <c r="I133" i="2"/>
  <c r="F133" i="2"/>
  <c r="J131" i="2"/>
  <c r="I130" i="2"/>
  <c r="F130" i="2"/>
  <c r="I129" i="2"/>
  <c r="F129" i="2"/>
  <c r="I128" i="2"/>
  <c r="F128" i="2"/>
  <c r="I125" i="2"/>
  <c r="F125" i="2"/>
  <c r="I124" i="2"/>
  <c r="F124" i="2"/>
  <c r="I123" i="2"/>
  <c r="F123" i="2"/>
  <c r="J121" i="2"/>
  <c r="I120" i="2"/>
  <c r="F120" i="2"/>
  <c r="I119" i="2"/>
  <c r="F119" i="2"/>
  <c r="I118" i="2"/>
  <c r="F118" i="2"/>
  <c r="H114" i="2"/>
  <c r="E114" i="2"/>
  <c r="F114" i="2" s="1"/>
  <c r="G113" i="2"/>
  <c r="I113" i="2" s="1"/>
  <c r="F113" i="2"/>
  <c r="G112" i="2"/>
  <c r="I112" i="2" s="1"/>
  <c r="F112" i="2"/>
  <c r="I111" i="2"/>
  <c r="F111" i="2"/>
  <c r="I110" i="2"/>
  <c r="F110" i="2"/>
  <c r="I108" i="2"/>
  <c r="F108" i="2"/>
  <c r="I107" i="2"/>
  <c r="F107" i="2"/>
  <c r="I106" i="2"/>
  <c r="F106" i="2"/>
  <c r="I104" i="2"/>
  <c r="F104" i="2"/>
  <c r="I103" i="2"/>
  <c r="F103" i="2"/>
  <c r="I102" i="2"/>
  <c r="F102" i="2"/>
  <c r="I101" i="2"/>
  <c r="F101" i="2"/>
  <c r="I100" i="2"/>
  <c r="F100" i="2"/>
  <c r="J99" i="2"/>
  <c r="I98" i="2"/>
  <c r="F98" i="2"/>
  <c r="I97" i="2"/>
  <c r="F97" i="2"/>
  <c r="I96" i="2"/>
  <c r="F96" i="2"/>
  <c r="J95" i="2"/>
  <c r="F92" i="2"/>
  <c r="H91" i="2"/>
  <c r="H92" i="2" s="1"/>
  <c r="I92" i="2" s="1"/>
  <c r="F91" i="2"/>
  <c r="G89" i="2"/>
  <c r="I89" i="2" s="1"/>
  <c r="J89" i="2" s="1"/>
  <c r="G88" i="2"/>
  <c r="I88" i="2" s="1"/>
  <c r="F87" i="2"/>
  <c r="G86" i="2"/>
  <c r="I86" i="2" s="1"/>
  <c r="D86" i="2"/>
  <c r="F86" i="2" s="1"/>
  <c r="G85" i="2"/>
  <c r="I85" i="2" s="1"/>
  <c r="D85" i="2"/>
  <c r="F85" i="2" s="1"/>
  <c r="G84" i="2"/>
  <c r="I84" i="2" s="1"/>
  <c r="D84" i="2"/>
  <c r="F84" i="2" s="1"/>
  <c r="I82" i="2"/>
  <c r="F82" i="2"/>
  <c r="G81" i="2"/>
  <c r="I81" i="2" s="1"/>
  <c r="E81" i="2"/>
  <c r="D81" i="2"/>
  <c r="I80" i="2"/>
  <c r="F80" i="2"/>
  <c r="I79" i="2"/>
  <c r="F79" i="2"/>
  <c r="I76" i="2"/>
  <c r="F76" i="2"/>
  <c r="I75" i="2"/>
  <c r="F75" i="2"/>
  <c r="I74" i="2"/>
  <c r="F74" i="2"/>
  <c r="I72" i="2"/>
  <c r="D72" i="2"/>
  <c r="F72" i="2" s="1"/>
  <c r="I71" i="2"/>
  <c r="F71" i="2"/>
  <c r="I70" i="2"/>
  <c r="F70" i="2"/>
  <c r="I69" i="2"/>
  <c r="F69" i="2"/>
  <c r="I68" i="2"/>
  <c r="F68" i="2"/>
  <c r="I66" i="2"/>
  <c r="F66" i="2"/>
  <c r="I65" i="2"/>
  <c r="F65" i="2"/>
  <c r="I64" i="2"/>
  <c r="J64" i="2" s="1"/>
  <c r="I63" i="2"/>
  <c r="J63" i="2" s="1"/>
  <c r="I62" i="2"/>
  <c r="J62" i="2" s="1"/>
  <c r="I61" i="2"/>
  <c r="I60" i="2"/>
  <c r="J60" i="2" s="1"/>
  <c r="J57" i="2"/>
  <c r="J56" i="2"/>
  <c r="J55" i="2"/>
  <c r="I54" i="2"/>
  <c r="F54" i="2"/>
  <c r="I53" i="2"/>
  <c r="F53" i="2"/>
  <c r="G52" i="2"/>
  <c r="I52" i="2" s="1"/>
  <c r="F52" i="2"/>
  <c r="I51" i="2"/>
  <c r="F51" i="2"/>
  <c r="I50" i="2"/>
  <c r="F50" i="2"/>
  <c r="I49" i="2"/>
  <c r="F49" i="2"/>
  <c r="J47" i="2"/>
  <c r="J46" i="2"/>
  <c r="I45" i="2"/>
  <c r="F45" i="2"/>
  <c r="I44" i="2"/>
  <c r="F44" i="2"/>
  <c r="I43" i="2"/>
  <c r="F43" i="2"/>
  <c r="I42" i="2"/>
  <c r="F42" i="2"/>
  <c r="I39" i="2"/>
  <c r="F39" i="2"/>
  <c r="I38" i="2"/>
  <c r="F38" i="2"/>
  <c r="I37" i="2"/>
  <c r="F37" i="2"/>
  <c r="I35" i="2"/>
  <c r="F35" i="2"/>
  <c r="I34" i="2"/>
  <c r="F34" i="2"/>
  <c r="I33" i="2"/>
  <c r="F33" i="2"/>
  <c r="I32" i="2"/>
  <c r="F32" i="2"/>
  <c r="I31" i="2"/>
  <c r="F31" i="2"/>
  <c r="I29" i="2"/>
  <c r="F29" i="2"/>
  <c r="I28" i="2"/>
  <c r="F28" i="2"/>
  <c r="I27" i="2"/>
  <c r="F27" i="2"/>
  <c r="I26" i="2"/>
  <c r="F26" i="2"/>
  <c r="I25" i="2"/>
  <c r="F25" i="2"/>
  <c r="I24" i="2"/>
  <c r="F24" i="2"/>
  <c r="J21" i="2"/>
  <c r="J20" i="2"/>
  <c r="I19" i="2"/>
  <c r="F19" i="2"/>
  <c r="D18" i="2"/>
  <c r="F18" i="2" s="1"/>
  <c r="J18" i="2" s="1"/>
  <c r="D17" i="2"/>
  <c r="F17" i="2" s="1"/>
  <c r="J17" i="2" s="1"/>
  <c r="D16" i="2"/>
  <c r="F16" i="2" s="1"/>
  <c r="F14" i="2"/>
  <c r="J14" i="2" s="1"/>
  <c r="F13" i="2"/>
  <c r="J13" i="2" s="1"/>
  <c r="F12" i="2"/>
  <c r="J12" i="2" s="1"/>
  <c r="F11" i="2"/>
  <c r="J11" i="2" s="1"/>
  <c r="F10" i="2"/>
  <c r="J10" i="2" s="1"/>
  <c r="J118" i="2" l="1"/>
  <c r="F41" i="2"/>
  <c r="J100" i="2"/>
  <c r="E115" i="2"/>
  <c r="F115" i="2" s="1"/>
  <c r="J124" i="2"/>
  <c r="D7" i="5"/>
  <c r="D6" i="5" s="1"/>
  <c r="J104" i="2"/>
  <c r="J112" i="2"/>
  <c r="M69" i="4"/>
  <c r="J123" i="2"/>
  <c r="K46" i="4"/>
  <c r="F122" i="2"/>
  <c r="L35" i="4"/>
  <c r="J152" i="2"/>
  <c r="F23" i="2"/>
  <c r="J19" i="2"/>
  <c r="J24" i="2"/>
  <c r="J26" i="2"/>
  <c r="J28" i="2"/>
  <c r="J33" i="2"/>
  <c r="J35" i="2"/>
  <c r="J38" i="2"/>
  <c r="J42" i="2"/>
  <c r="J50" i="2"/>
  <c r="J54" i="2"/>
  <c r="J66" i="2"/>
  <c r="J69" i="2"/>
  <c r="J74" i="2"/>
  <c r="J76" i="2"/>
  <c r="J98" i="2"/>
  <c r="F150" i="2"/>
  <c r="N78" i="4"/>
  <c r="F36" i="2"/>
  <c r="J36" i="2" s="1"/>
  <c r="F48" i="2"/>
  <c r="F59" i="2"/>
  <c r="F73" i="2"/>
  <c r="J82" i="2"/>
  <c r="J85" i="2"/>
  <c r="J106" i="2"/>
  <c r="J108" i="2"/>
  <c r="J113" i="2"/>
  <c r="I132" i="2"/>
  <c r="J144" i="2"/>
  <c r="J27" i="2"/>
  <c r="J32" i="2"/>
  <c r="J37" i="2"/>
  <c r="J39" i="2"/>
  <c r="J45" i="2"/>
  <c r="J51" i="2"/>
  <c r="J65" i="2"/>
  <c r="J72" i="2"/>
  <c r="F83" i="2"/>
  <c r="F105" i="2"/>
  <c r="J128" i="2"/>
  <c r="J130" i="2"/>
  <c r="F132" i="2"/>
  <c r="K21" i="4"/>
  <c r="D11" i="5"/>
  <c r="J9" i="4"/>
  <c r="K69" i="4"/>
  <c r="K64" i="4" s="1"/>
  <c r="L64" i="4"/>
  <c r="P9" i="4"/>
  <c r="L79" i="4"/>
  <c r="Q14" i="4"/>
  <c r="I34" i="4"/>
  <c r="I31" i="4" s="1"/>
  <c r="J40" i="4"/>
  <c r="J35" i="4" s="1"/>
  <c r="M30" i="4"/>
  <c r="J84" i="4"/>
  <c r="J79" i="4" s="1"/>
  <c r="I79" i="4"/>
  <c r="L9" i="4"/>
  <c r="I9" i="4"/>
  <c r="J21" i="4"/>
  <c r="O46" i="4"/>
  <c r="M78" i="4"/>
  <c r="O9" i="4"/>
  <c r="M57" i="4"/>
  <c r="M19" i="4"/>
  <c r="I127" i="2"/>
  <c r="M63" i="4"/>
  <c r="P69" i="4"/>
  <c r="J34" i="2"/>
  <c r="I41" i="2"/>
  <c r="J49" i="2"/>
  <c r="F90" i="2"/>
  <c r="J120" i="2"/>
  <c r="F127" i="2"/>
  <c r="J135" i="2"/>
  <c r="J143" i="2"/>
  <c r="K9" i="4"/>
  <c r="M34" i="4"/>
  <c r="M31" i="4" s="1"/>
  <c r="P45" i="4"/>
  <c r="N46" i="4"/>
  <c r="P63" i="4"/>
  <c r="O79" i="4"/>
  <c r="J92" i="2"/>
  <c r="N9" i="4"/>
  <c r="I30" i="4"/>
  <c r="M35" i="4"/>
  <c r="N69" i="4"/>
  <c r="M72" i="4"/>
  <c r="M73" i="4" s="1"/>
  <c r="Q86" i="4"/>
  <c r="Q87" i="4" s="1"/>
  <c r="J68" i="2"/>
  <c r="I73" i="2"/>
  <c r="J101" i="2"/>
  <c r="I122" i="2"/>
  <c r="J122" i="2" s="1"/>
  <c r="J129" i="2"/>
  <c r="F146" i="2"/>
  <c r="D23" i="5"/>
  <c r="C28" i="3" s="1"/>
  <c r="J29" i="2"/>
  <c r="I36" i="2"/>
  <c r="J43" i="2"/>
  <c r="F94" i="2"/>
  <c r="F137" i="2"/>
  <c r="I146" i="2"/>
  <c r="P57" i="4"/>
  <c r="K84" i="4"/>
  <c r="K79" i="4" s="1"/>
  <c r="F30" i="2"/>
  <c r="F22" i="2" s="1"/>
  <c r="I59" i="2"/>
  <c r="I94" i="2"/>
  <c r="I137" i="2"/>
  <c r="M14" i="4"/>
  <c r="Q19" i="4"/>
  <c r="J70" i="2"/>
  <c r="J79" i="2"/>
  <c r="J97" i="2"/>
  <c r="J103" i="2"/>
  <c r="J140" i="2"/>
  <c r="M26" i="4"/>
  <c r="M21" i="4" s="1"/>
  <c r="K35" i="4"/>
  <c r="L46" i="4"/>
  <c r="N84" i="4"/>
  <c r="N79" i="4" s="1"/>
  <c r="I141" i="2"/>
  <c r="J71" i="2"/>
  <c r="J111" i="2"/>
  <c r="F117" i="2"/>
  <c r="F141" i="2"/>
  <c r="J69" i="4"/>
  <c r="I78" i="4"/>
  <c r="F81" i="2"/>
  <c r="F78" i="2" s="1"/>
  <c r="I117" i="2"/>
  <c r="J125" i="2"/>
  <c r="J134" i="2"/>
  <c r="J142" i="2"/>
  <c r="M51" i="4"/>
  <c r="M46" i="4" s="1"/>
  <c r="D16" i="5"/>
  <c r="C26" i="3" s="1"/>
  <c r="C33" i="3"/>
  <c r="C32" i="3" s="1"/>
  <c r="C31" i="3" s="1"/>
  <c r="D27" i="5"/>
  <c r="C29" i="3" s="1"/>
  <c r="D19" i="5"/>
  <c r="C27" i="3" s="1"/>
  <c r="Q34" i="4"/>
  <c r="Q31" i="4" s="1"/>
  <c r="P31" i="4"/>
  <c r="O64" i="4"/>
  <c r="P72" i="4"/>
  <c r="Q72" i="4" s="1"/>
  <c r="Q73" i="4" s="1"/>
  <c r="Q64" i="4" s="1"/>
  <c r="P74" i="4"/>
  <c r="P78" i="4" s="1"/>
  <c r="Q80" i="4"/>
  <c r="Q84" i="4" s="1"/>
  <c r="P84" i="4"/>
  <c r="P79" i="4" s="1"/>
  <c r="P36" i="4"/>
  <c r="N64" i="4"/>
  <c r="O21" i="4"/>
  <c r="I26" i="4"/>
  <c r="I51" i="4"/>
  <c r="I63" i="4"/>
  <c r="Q22" i="4"/>
  <c r="P26" i="4"/>
  <c r="P30" i="4"/>
  <c r="N45" i="4"/>
  <c r="N35" i="4" s="1"/>
  <c r="P51" i="4"/>
  <c r="J73" i="4"/>
  <c r="Q47" i="4"/>
  <c r="Q51" i="4" s="1"/>
  <c r="Q46" i="4" s="1"/>
  <c r="I57" i="4"/>
  <c r="I69" i="4"/>
  <c r="I73" i="4"/>
  <c r="I23" i="2"/>
  <c r="J25" i="2"/>
  <c r="I83" i="2"/>
  <c r="J83" i="2" s="1"/>
  <c r="J84" i="2"/>
  <c r="F109" i="2"/>
  <c r="J52" i="2"/>
  <c r="I48" i="2"/>
  <c r="I78" i="2"/>
  <c r="J80" i="2"/>
  <c r="F145" i="2"/>
  <c r="J151" i="2"/>
  <c r="I150" i="2"/>
  <c r="J146" i="2"/>
  <c r="F40" i="2"/>
  <c r="I30" i="2"/>
  <c r="H115" i="2"/>
  <c r="I115" i="2" s="1"/>
  <c r="I114" i="2"/>
  <c r="J114" i="2" s="1"/>
  <c r="J44" i="2"/>
  <c r="J53" i="2"/>
  <c r="J59" i="2"/>
  <c r="J102" i="2"/>
  <c r="F15" i="2"/>
  <c r="J15" i="2" s="1"/>
  <c r="J16" i="2"/>
  <c r="I67" i="2"/>
  <c r="J81" i="2"/>
  <c r="J86" i="2"/>
  <c r="J41" i="2"/>
  <c r="F67" i="2"/>
  <c r="I105" i="2"/>
  <c r="J107" i="2"/>
  <c r="J153" i="2"/>
  <c r="I87" i="2"/>
  <c r="J87" i="2" s="1"/>
  <c r="J88" i="2"/>
  <c r="J133" i="2"/>
  <c r="F9" i="2"/>
  <c r="J61" i="2"/>
  <c r="J75" i="2"/>
  <c r="J96" i="2"/>
  <c r="J110" i="2"/>
  <c r="J31" i="2"/>
  <c r="I91" i="2"/>
  <c r="J119" i="2"/>
  <c r="J139" i="2"/>
  <c r="J147" i="2"/>
  <c r="J115" i="2" l="1"/>
  <c r="F126" i="2"/>
  <c r="I116" i="2"/>
  <c r="C14" i="3" s="1"/>
  <c r="K20" i="4"/>
  <c r="K8" i="4" s="1"/>
  <c r="L20" i="4"/>
  <c r="L8" i="4" s="1"/>
  <c r="J127" i="2"/>
  <c r="J132" i="2"/>
  <c r="F116" i="2"/>
  <c r="I145" i="2"/>
  <c r="C17" i="3" s="1"/>
  <c r="J141" i="2"/>
  <c r="J94" i="2"/>
  <c r="J105" i="2"/>
  <c r="F77" i="2"/>
  <c r="F58" i="2" s="1"/>
  <c r="J73" i="2"/>
  <c r="J137" i="2"/>
  <c r="F136" i="2"/>
  <c r="I126" i="2"/>
  <c r="I136" i="2"/>
  <c r="C16" i="3" s="1"/>
  <c r="J30" i="2"/>
  <c r="J48" i="2"/>
  <c r="M9" i="4"/>
  <c r="O20" i="4"/>
  <c r="O8" i="4" s="1"/>
  <c r="Q9" i="4"/>
  <c r="J64" i="4"/>
  <c r="J20" i="4" s="1"/>
  <c r="J8" i="4" s="1"/>
  <c r="P73" i="4"/>
  <c r="P64" i="4" s="1"/>
  <c r="Q79" i="4"/>
  <c r="P46" i="4"/>
  <c r="I21" i="4"/>
  <c r="M64" i="4"/>
  <c r="M20" i="4" s="1"/>
  <c r="J117" i="2"/>
  <c r="J116" i="2" s="1"/>
  <c r="F93" i="2"/>
  <c r="I40" i="2"/>
  <c r="N20" i="4"/>
  <c r="N8" i="4" s="1"/>
  <c r="I64" i="4"/>
  <c r="C23" i="3"/>
  <c r="C22" i="3" s="1"/>
  <c r="D10" i="5"/>
  <c r="D5" i="5" s="1"/>
  <c r="Q26" i="4"/>
  <c r="Q21" i="4" s="1"/>
  <c r="P21" i="4"/>
  <c r="P40" i="4"/>
  <c r="P35" i="4" s="1"/>
  <c r="Q36" i="4"/>
  <c r="Q40" i="4" s="1"/>
  <c r="Q35" i="4" s="1"/>
  <c r="I46" i="4"/>
  <c r="J78" i="2"/>
  <c r="J9" i="2"/>
  <c r="F8" i="2"/>
  <c r="J67" i="2"/>
  <c r="I22" i="2"/>
  <c r="C10" i="3" s="1"/>
  <c r="J23" i="2"/>
  <c r="I90" i="2"/>
  <c r="J90" i="2" s="1"/>
  <c r="J91" i="2"/>
  <c r="I109" i="2"/>
  <c r="J109" i="2" s="1"/>
  <c r="J145" i="2" l="1"/>
  <c r="M8" i="4"/>
  <c r="J136" i="2"/>
  <c r="J126" i="2"/>
  <c r="C15" i="3"/>
  <c r="J40" i="2"/>
  <c r="C11" i="3"/>
  <c r="I93" i="2"/>
  <c r="P20" i="4"/>
  <c r="P8" i="4" s="1"/>
  <c r="Q20" i="4"/>
  <c r="Q8" i="4" s="1"/>
  <c r="I20" i="4"/>
  <c r="I8" i="4" s="1"/>
  <c r="F7" i="2"/>
  <c r="J8" i="2"/>
  <c r="J22" i="2"/>
  <c r="J77" i="2"/>
  <c r="J58" i="2" s="1"/>
  <c r="I77" i="2"/>
  <c r="I58" i="2" s="1"/>
  <c r="J93" i="2" l="1"/>
  <c r="C13" i="3"/>
  <c r="I7" i="2"/>
  <c r="J7" i="2" s="1"/>
  <c r="C12" i="3"/>
  <c r="C9" i="3" s="1"/>
  <c r="C18" i="1"/>
  <c r="C17" i="1"/>
  <c r="C16" i="1"/>
  <c r="G18" i="1"/>
  <c r="G17" i="1"/>
  <c r="G16" i="1"/>
  <c r="G22" i="1" l="1"/>
  <c r="G14" i="1"/>
  <c r="J14" i="1" s="1"/>
  <c r="K12" i="1"/>
  <c r="K11" i="1" s="1"/>
  <c r="J13" i="1"/>
  <c r="J12" i="1"/>
  <c r="J17" i="1"/>
  <c r="K15" i="1"/>
  <c r="J18" i="1"/>
  <c r="J16" i="1"/>
  <c r="K20" i="1"/>
  <c r="K19" i="1" s="1"/>
  <c r="J21" i="1"/>
  <c r="J22" i="1"/>
  <c r="J20" i="1"/>
  <c r="K24" i="1"/>
  <c r="K23" i="1" s="1"/>
  <c r="J25" i="1"/>
  <c r="J26" i="1"/>
  <c r="J24" i="1"/>
  <c r="K28" i="1"/>
  <c r="K27" i="1" s="1"/>
  <c r="J29" i="1"/>
  <c r="J30" i="1"/>
  <c r="J28" i="1"/>
  <c r="K32" i="1"/>
  <c r="K31" i="1" s="1"/>
  <c r="J33" i="1"/>
  <c r="J34" i="1"/>
  <c r="J32" i="1"/>
  <c r="F33" i="1"/>
  <c r="F29" i="1"/>
  <c r="F25" i="1"/>
  <c r="F21" i="1"/>
  <c r="F22" i="1"/>
  <c r="F24" i="1"/>
  <c r="F26" i="1"/>
  <c r="F28" i="1"/>
  <c r="F30" i="1"/>
  <c r="F32" i="1"/>
  <c r="F34" i="1"/>
  <c r="F20" i="1"/>
  <c r="F17" i="1"/>
  <c r="F13" i="1"/>
  <c r="F14" i="1"/>
  <c r="F16" i="1"/>
  <c r="F18" i="1"/>
  <c r="F12" i="1"/>
  <c r="J23" i="1" l="1"/>
  <c r="L23" i="1" s="1"/>
  <c r="F19" i="1"/>
  <c r="J31" i="1"/>
  <c r="J27" i="1"/>
  <c r="L27" i="1" s="1"/>
  <c r="J19" i="1"/>
  <c r="K10" i="1"/>
  <c r="K9" i="1" s="1"/>
  <c r="J11" i="1"/>
  <c r="L11" i="1" s="1"/>
  <c r="F11" i="1"/>
  <c r="J15" i="1"/>
  <c r="L15" i="1" s="1"/>
  <c r="L19" i="1"/>
  <c r="F15" i="1"/>
  <c r="F27" i="1"/>
  <c r="F23" i="1"/>
  <c r="F31" i="1"/>
  <c r="F10" i="1" l="1"/>
  <c r="J10" i="1"/>
  <c r="J9" i="1" s="1"/>
  <c r="L10" i="1"/>
  <c r="L9" i="1" s="1"/>
  <c r="N9" i="1" s="1"/>
  <c r="F9" i="1"/>
  <c r="C7" i="3" l="1"/>
  <c r="C6" i="3" s="1"/>
  <c r="C5" i="3" s="1"/>
  <c r="C8" i="3"/>
</calcChain>
</file>

<file path=xl/sharedStrings.xml><?xml version="1.0" encoding="utf-8"?>
<sst xmlns="http://schemas.openxmlformats.org/spreadsheetml/2006/main" count="906" uniqueCount="444">
  <si>
    <t>STT</t>
  </si>
  <si>
    <t>Nghề đào tạo/Nội dung chi</t>
  </si>
  <si>
    <t xml:space="preserve">Số lượng </t>
  </si>
  <si>
    <t>Định mức</t>
  </si>
  <si>
    <t>Thành tiền</t>
  </si>
  <si>
    <t>Số lượng</t>
  </si>
  <si>
    <t>Hạng B</t>
  </si>
  <si>
    <t>Kinh phí đào tạo</t>
  </si>
  <si>
    <t>Hỗ trợ tiền ăn</t>
  </si>
  <si>
    <t>Hỗ trợ tiền đi lại</t>
  </si>
  <si>
    <t xml:space="preserve"> -</t>
  </si>
  <si>
    <t>Hạng C</t>
  </si>
  <si>
    <t>Đào tạo nghề sửa chữa điện lạnh (trình độ sơ cấp)</t>
  </si>
  <si>
    <t>Đào tạo nghề lái xe ô tô (trình độ sơ cấp)</t>
  </si>
  <si>
    <t>a</t>
  </si>
  <si>
    <t>b</t>
  </si>
  <si>
    <t>Đào tạo nghề sửa chữa điện dân dụng, công nghiệp (trình độ sơ cấp)</t>
  </si>
  <si>
    <t>Đào tạo nghề hàn điện (trình độ sơ cấp)</t>
  </si>
  <si>
    <t>Đào tạo nghề sửa chữa máy động lực nhỏ (trình độ sơ cấp)</t>
  </si>
  <si>
    <t>TỔNG CỘNG</t>
  </si>
  <si>
    <t>Ghi chú</t>
  </si>
  <si>
    <t>Sở Tài chính thẩm định</t>
  </si>
  <si>
    <t>Đơn vị đề nghị</t>
  </si>
  <si>
    <t>Số ngày</t>
  </si>
  <si>
    <t>Mức hỗ trợ theo thẻ học nghề được cấp</t>
  </si>
  <si>
    <t>Có 8 đối tượng cách địa điểm đào tạo dưới 15 km do đó không hỗ trợ</t>
  </si>
  <si>
    <t>Có 1 đối tượng cách địa điểm đào tạo dưới 15 km do đó không hỗ trợ</t>
  </si>
  <si>
    <t>6 = 3 x 4 x 5</t>
  </si>
  <si>
    <t>10 = 7 x 8 x 9</t>
  </si>
  <si>
    <t>11 = 7 x 12 x 1.490.000 đồng</t>
  </si>
  <si>
    <t>14 = 12 - 13</t>
  </si>
  <si>
    <t>Đơn vị tính: đồng</t>
  </si>
  <si>
    <t>BIỂU XÁC ĐỊNH NHU CẦU KINH PHÍ THỰC HIỆN HỖ TRỢ ĐÀO TẠO NGHỀ CHO ĐỐI TƯỢNG LÀ THANH NIÊN HOÀN THÀNH NGHĨA VỤ QUÂN SỰ, NGHĨA VỤ CÔNG AN, THANH NIÊN TÌNH NGUYỆN HOÀN THÀNH NHIỆM VỤ THỰC HIỆN CHƯƠNG TRÌNH, DỰ ÁN PHÁT TRIỂN KINH TẾ - XÃ HỘI</t>
  </si>
  <si>
    <t>Biểu số 01</t>
  </si>
  <si>
    <t>Có 16 đối tượng cách địa điểm đào tạo dưới 15km do đó không hỗ trợ</t>
  </si>
  <si>
    <t>12 = 10 nếu giá trị cột 10 &lt;cột 11; 12 = 11 nếu giá trị cột 10 &gt; cột 11</t>
  </si>
  <si>
    <t>Biểu số 02</t>
  </si>
  <si>
    <t>Nội dung</t>
  </si>
  <si>
    <t>Đơn vị tính</t>
  </si>
  <si>
    <t>Cơ quan chuyên môn thẩm định</t>
  </si>
  <si>
    <t>Chênh lệch tăng, giảm (+, -)</t>
  </si>
  <si>
    <t>Đơn giá</t>
  </si>
  <si>
    <t>I</t>
  </si>
  <si>
    <t>Sở Giáo dục và Đào tạo</t>
  </si>
  <si>
    <t>Kinh phí tổ chức bồi dưỡng nâng cao năng lực quản lý của Trung tâm học tập cộng đồng (Trung tâm)</t>
  </si>
  <si>
    <t>- Thời gian: thực hiện trong 02 ngày; 2 buổi/ngày; 
- Thành phần: dự kiến 130 người tham gia, trong đó: 108 Giám đốc Trung tâm; 16 người của 8 phòng Giáo dục- Đào tạo các huyện, thành phố (1 Trưởng phòng, 1 chuyên viên); 6 người của Sở Giáo dục và Đào tạo.
Chú thích: Tỉnh Bắc Kạn có 108 xã; mỗi xã có 01 Trung tâm học tập cộng đồng.</t>
  </si>
  <si>
    <t>-</t>
  </si>
  <si>
    <t>Chi thù lao giảng viên, báo cáo viên</t>
  </si>
  <si>
    <t>Người/ buổi</t>
  </si>
  <si>
    <t>Chi văn phòng phẩm (2 gram giấy)</t>
  </si>
  <si>
    <t>Gram</t>
  </si>
  <si>
    <t>Chi thuê hội trường, phòng học; thuê thiết bị, dụng cụ phục vụ giảng dạy (đèn chiếu, máy vi tính, thiết bị khác....);</t>
  </si>
  <si>
    <t>Ngày</t>
  </si>
  <si>
    <t>Phô tô tài liệu phục vụ tập huấn</t>
  </si>
  <si>
    <t>Quyển</t>
  </si>
  <si>
    <t>Chi nước uống</t>
  </si>
  <si>
    <t>Người/ ngày</t>
  </si>
  <si>
    <t>Kinh phí kiểm tra thực hiện nhiệm vụ đối với Trung tâm học tập cộng đồng</t>
  </si>
  <si>
    <t>Tiền lưu trú (7 người; 6 ngày)</t>
  </si>
  <si>
    <t>Người/ngày</t>
  </si>
  <si>
    <t>Tiền thuê phòng nghỉ (4 người; 2 đêm)</t>
  </si>
  <si>
    <t>Người/đêm</t>
  </si>
  <si>
    <t>Tiền phương tiện đi công tác (tính trung bình 160km/huyện x 7 huyện)</t>
  </si>
  <si>
    <t>Km/ người</t>
  </si>
  <si>
    <t>Kinh phí kiểm tra, đánh giá, xếp loại Đơn vị học tập cấp tỉnh</t>
  </si>
  <si>
    <t>Chi tổ chức cuộc họp triển khai kế hoạch đánh giá, xếp loại Đơn vị học tập cấp tỉnh (Chi giải khát giữa giờ)</t>
  </si>
  <si>
    <t>Chi tổng hợp số liệu, phân tích, viết báo cáo, đánh giá, xếp loại Đơn vị học tập cấp tỉnh.</t>
  </si>
  <si>
    <t xml:space="preserve">Cuộc </t>
  </si>
  <si>
    <t>II</t>
  </si>
  <si>
    <t>Ủy ban nhân dân huyện Ba Bể</t>
  </si>
  <si>
    <t>Kinh phí tổ chức Tuần lễ hưởng ứng học tập suốt đời</t>
  </si>
  <si>
    <t>Căn cứ nội dung, mức chi theo Nghị quyết số 13/2014/NQ-HĐND ngày 18/7/2014 của Hội đồng nhân dân tỉnh</t>
  </si>
  <si>
    <t>Soạn thảo Kế hoạch</t>
  </si>
  <si>
    <t>Bản</t>
  </si>
  <si>
    <t>Nhiệm vụ tổ chức Tuần lễ hưởng ứng học tập suốt đời, không phải soạn thảo Đề án, Kế hoạch nên cơ quan chuyên môn không thẩm định chi phí này.</t>
  </si>
  <si>
    <t>Soạn thảo báo cáo</t>
  </si>
  <si>
    <t>Biên soạn tài liệu tuyên truyền, vận động</t>
  </si>
  <si>
    <t>Trang</t>
  </si>
  <si>
    <t>Chi thù lao báo cáo viên tuyên truyền, phát động (2 buổi/ngày)</t>
  </si>
  <si>
    <t>Thuê hội trường và thiết bị</t>
  </si>
  <si>
    <t>Theo giá thị trường tại thời điểm thẩm định</t>
  </si>
  <si>
    <t>Kinh phí tổ chức bồi dưỡng nâng cao năng lực cho đội ngũ quản lý Trung tâm học tập cộng đồng</t>
  </si>
  <si>
    <t>Căn cứ nội dung, mức chi theo Nghị Quyết số 21/2018/NQ-HĐND ngày 10/12/2018 của Hội đồng nhân dân tỉnh</t>
  </si>
  <si>
    <t>-Thời gian thực hiện: 01 ngày/2 buổi;
-Thành phần tham gia: 35 người, trong đó 30 người Trung tâm học tập cộng đồng (mỗi Trung tâm 2 Phó giám đốc x 15 Trung tâm); 5 người phòng Giáo dục và Đào tạo;
Chú thích: Mỗi xã có 01 Trung tâm học tập cộng đồng; huyện Ba Bể có 15 xã tương đương 15 Trung tâm.</t>
  </si>
  <si>
    <t>Chi văn phòng phẩm (giấy)</t>
  </si>
  <si>
    <t>Chi thuê thiết bị, dụng cụ phục vụ giảng dạy (đèn chiếu, máy vi tính, thiết bị khác....);</t>
  </si>
  <si>
    <t>Chi mua, in ấn giáo trình, tài liệu trực tiếp phục vụ lớp học (không bao gồm tài liệu tham khảo).</t>
  </si>
  <si>
    <t>Kinh phí cho các hoạt động điều tra, khảo sát phục vụ công tác xóa mù chữ và phổ cập giáo dục mầm non, phổ cập giáo dục tiểu học và phổ cập giáo dục trung học cơ sở</t>
  </si>
  <si>
    <t xml:space="preserve">- Căn cứ nội dung, mức chi theo Nghị quyết 19/2022/NQ-HĐND ngày 10/12/2022 của Hội đồng nhân dân tỉnh;
- Theo thống kê tại huyện Ba Bể có 12.364 hộ gia đình (Mỗi hộ gia đình là 1 phiếu điều tra, 12.364 hộ gia đình tương đương 12.364 phiếu điều tra).
</t>
  </si>
  <si>
    <t>Kinh phí cán bộ, giáo viên trực tiếp thực hiện điều tra tại từng hộ gia đình</t>
  </si>
  <si>
    <t>Phiếu điều tra</t>
  </si>
  <si>
    <t>Kinh phí người trực tiếp tổng hợp, xử lý số liệu cấp xã</t>
  </si>
  <si>
    <t>Kinh phí tổng hợp số liệu, hoàn thiện bộ hồ sơ cấp huyện</t>
  </si>
  <si>
    <t>III</t>
  </si>
  <si>
    <t>Ủy ban nhân dân huyện Na Rì</t>
  </si>
  <si>
    <t>Văn nghệ</t>
  </si>
  <si>
    <t>người</t>
  </si>
  <si>
    <t>Macket</t>
  </si>
  <si>
    <t>cái</t>
  </si>
  <si>
    <t>Băngzôn</t>
  </si>
  <si>
    <t>Cái</t>
  </si>
  <si>
    <t>Pinmic</t>
  </si>
  <si>
    <t>đôi</t>
  </si>
  <si>
    <t>Căn cứ mức chi theo Nghị Quyết số 21/2018/NQ-HĐND ngày 10/12/2018 của Hội đồng nhân dân tỉnh</t>
  </si>
  <si>
    <t>-Thời gian thực hiện: 01 ngày/2 buổi;
-Thành phần tham gia: 40 người, trong đó 34 người Trung tâm học tập cộng đồng (mỗi Trung tâm 2 Phó giám đốc x 17 Trung tâm); 6 người phòng Giáo dục và Đào tạo huyện Na Rì.
Chú thích: Mỗi xã có 01 Trung tâm học tập cộng đồng; huyện Na Rì có 17 xã tương đương 17 Trung tâm.</t>
  </si>
  <si>
    <t>Người</t>
  </si>
  <si>
    <t xml:space="preserve">- Căn cứ nội dung, mức chi theo Nghị quyết 19/2022/NQ-HĐND ngày 10/12/2022 của Hội đồng nhân dân tỉnh;
- Theo thống kê tại huyện Na Rì có 10.678 hộ gia đình (Mỗi hộ gia đình là 1 phiếu điều tra, 10.678 hộ gia đình tương đương 10.678 phiếu điều tra).
</t>
  </si>
  <si>
    <t>IV</t>
  </si>
  <si>
    <t>Ủy ban nhân dân huyện Chợ Đồn</t>
  </si>
  <si>
    <t>Thuê Hội trường và thiết bị</t>
  </si>
  <si>
    <t>Băng zôn khẩu hiệu tuyên truyền (treo trong Hội trường, treo ngoài đường)</t>
  </si>
  <si>
    <t>- Số lượng người tham gia đông do Huyện Chợ Đồn nhiều xã nhất tỉnh (20 xã/108 xã);
- Mức chi vận dụng theo điểm b, Số thứ tự 4 Phụ lục kèm theo Nghị quyết số 13/2014/NQ-HĐND</t>
  </si>
  <si>
    <t>-Thời gian thực hiện: 01 ngày/2 buổi;
-Thành phần tham gia: 45 người, trong đó 40 người Trung tâm học tập cộng đồng (mỗi Trung tâm 2 Phó giám đốc x 20 Trung tâm); 5 người phòng Giáo dục và Đào tạo.
Chú thích: Mỗi xã có 01 Trung tâm học tập cộng đồng; huyện Chợ Đồn có 20 xã tương đương 20 Trung tâm.</t>
  </si>
  <si>
    <t xml:space="preserve">- Căn cứ nội dung, mức chi theo Nghị quyết 19/2022/NQ-HĐND ngày 10/12/2022 của Hội đồng nhân dân tỉnh;
- Theo thống kê tại huyện Chợ Đồn có 13.494 hộ gia đình (Mỗi hộ gia đình là 1 phiếu điều tra, 13.494 hộ gia đình tương đương 13.494 phiếu điều tra).
</t>
  </si>
  <si>
    <t>Kinh phí cho các lớp xóa mù chữ</t>
  </si>
  <si>
    <t>4.1</t>
  </si>
  <si>
    <t>Hỗ trợ kinh phí chi thắp sáng ban đêm đối với lớp xóa mù chữ</t>
  </si>
  <si>
    <t>tháng</t>
  </si>
  <si>
    <t>- Số lượng theo số lớp thực tế đang học (10 lớp, 9 tháng học) và dự kiến 3 lớp sẽ mở vào tháng 9/2023 (4 tháng học);
- Mức chi theo điểm e khoản 1 điều 2 Nghị quyết số 19/2022/NQ-HĐND</t>
  </si>
  <si>
    <t>Các lớp xóa mù chữ mở tháng 01/2023: 08 lớp, 9 tháng trong một giai đoạn học tập (sẽ hoàn thành chương trình xóa mù chữ trong năm 2023).</t>
  </si>
  <si>
    <t>Lớp</t>
  </si>
  <si>
    <t>Các lớp xóa mù chữ tại mở tháng 3/2023: 02 lớp, 9 tháng trong một giai đoạn học tập (sẽ hoàn thành chương trình xóa mù chữ trong năm 2023).</t>
  </si>
  <si>
    <t>Lớp xóa mù chữ dự kiến mở tháng 9/2023: 03 lớp, 4 tháng học trong năm 2023.</t>
  </si>
  <si>
    <t>Tháng/ lớp</t>
  </si>
  <si>
    <t>4.2</t>
  </si>
  <si>
    <t>Kinh phí hỗ trợ cho người tham gia hoạt động tuyên truyền, huy động người mù chữ, tái mù chữ đến lớp xóa mù chữ</t>
  </si>
  <si>
    <t>- Số lượng theo số người học thực tế của 10 lớp xóa mù chữ đang học và sẽ kết thúc chương trình trong năm 2023;
- Mức chi theo điểm e  khoản 1 điều 2 Nghị quyết số 19/2022/NQ-HĐND;
- Điều kiện chi trả: theo Công văn số 1148/UBND-VXNV ngày 02/3/2023 của UBND tỉnh.</t>
  </si>
  <si>
    <t>4.3</t>
  </si>
  <si>
    <t>Kinh phí phụ cấp cho người làm công tác chủ nhiệm lớp xóa mù chữ</t>
  </si>
  <si>
    <t>- Số lượng theo số lớp xóa mù chữ thực tế đang học (10 lớp, 9 tháng học) và dự kiến 3 lớp xóa mù chữ sẽ mở vào tháng 9/2023 (4 tháng học);
- Mức chi theo điểm e  khoản 1 điều 2 Nghị quyết số 19/2022/NQ-HĐND</t>
  </si>
  <si>
    <t>4.4</t>
  </si>
  <si>
    <r>
      <t xml:space="preserve">Kinh phí tiền công đối với những người tình nguyện tham gia giảng dạy các lớp xóa mù chữ </t>
    </r>
    <r>
      <rPr>
        <i/>
        <sz val="12"/>
        <color rgb="FF000000"/>
        <rFont val="Times New Roman"/>
        <family val="1"/>
      </rPr>
      <t>(bao gồm giáo viên thuộc biên chế của cơ sở giáo dục công lập và những người ngoài biên chế có đủ tiêu chuẩn, năng lực giảng dạy)</t>
    </r>
    <r>
      <rPr>
        <sz val="12"/>
        <color indexed="8"/>
        <rFont val="Times New Roman"/>
        <family val="1"/>
      </rPr>
      <t>- Trường hợp trả thù lao</t>
    </r>
  </si>
  <si>
    <t>Tiết dạy học</t>
  </si>
  <si>
    <t>- Mức chi tiền công theo hợp đồng/tháng học, dự kiến: 
+ Tiền lương: 2,34x1.490.000 = 3.486.000đ; Phụ cấp đứng lớp: 70% x 3.486.000đ= 2.440.620đ Tổng: 5.926.620đ (làm tròn số: 6.000.000đ/tháng)
- Thời gian thực hiện:
+ 10 lớp xóa mù chữ: học 9 tháng trong năm 2023;
+ 03 lớp xóa mù chữ (dự kiến tháng 9/2023 mở lớp): học 4 tháng trong năm 2023.</t>
  </si>
  <si>
    <t>Tiền công đối với 10 lớp xóa mù chữ sẽ hoàn thành chương trình trong năm 2023 (9 tháng dạy học)</t>
  </si>
  <si>
    <t>Lớp/ tháng</t>
  </si>
  <si>
    <t>Tiền công đối với 03 lớp xóa mù chữ (dự kiến mở lớp tháng 9/2023) thực hiện giảng dạy trong 4 tháng năm 2023</t>
  </si>
  <si>
    <t>4.5</t>
  </si>
  <si>
    <t>Kinh phí khen thưởng</t>
  </si>
  <si>
    <t>- Mức tiền thưởng (cấp xã) theo Điều 73 Nghị định 91/2017/NĐ-CP ngày  quy định chi tiết thi hành một số điều của Luật Thi đua, Khen thưởng, cụ thể:
- Mức tiền thưởng cá nhân: 0,15 lần mức lương cơ sở: 0,15* 1.490.000đ = 223.500đ;
- Mức tiền thưởng tập thể: 2 lần mức tiền thưởng cá nhân: 2* 223.500đ = 447.000đ.</t>
  </si>
  <si>
    <t>Chi khen thưởng cho học viên, giáo viên giảng dạy, người tham gia huy động người mù chữ, tái mù chữ có thành tích (10 người học có thành tích của 10 lớp xóa mù chữ hoàn thành chương trình trong năm 2023)</t>
  </si>
  <si>
    <t>Chi khen thưởng cho tập thể có thành tích trong công tác xóa mù chữ (4 tập thể có thành tích trong vận động người tham gia hoàn thành chương trình xóa mù chữ)</t>
  </si>
  <si>
    <t>Tập thể</t>
  </si>
  <si>
    <t>V</t>
  </si>
  <si>
    <t>Ủy ban nhân dân huyện Pác Nặm</t>
  </si>
  <si>
    <t>Kinh phí tổ chức Tuần lễ hưởng ứng học tập suốt đời cấp huyện</t>
  </si>
  <si>
    <t>1.1</t>
  </si>
  <si>
    <t>Xây dựng kế hoạch</t>
  </si>
  <si>
    <t>1.2</t>
  </si>
  <si>
    <t>1.3</t>
  </si>
  <si>
    <t>Chi tổ chức lễ phát động</t>
  </si>
  <si>
    <t>Chi thù lao cho báo cáo viên tuyên truyền, phát động (2 buổi/ngày)</t>
  </si>
  <si>
    <t>- Số lượng người tham gia đông do Huyện Pác Nặm dân trí thấp, tổ chức Tuần lễ học tập suốt đời tại huyện cũng là một hình thức tuyên truyền, vận động người dân học tập, xóa mù chữ;
- Mức chi vận dụng theo điểm b, Số thứ tự 4, Phụ lục kèm theo Nghị quyết số 13/2014/NQ-HĐND</t>
  </si>
  <si>
    <t>Thuê văn nghệ, diễn viên</t>
  </si>
  <si>
    <t>Thuê dẫn chương trình</t>
  </si>
  <si>
    <t xml:space="preserve">- Căn cứ nội dung, mức chi theo Nghị quyết 19/2022/NQ-HĐND ngày 10/12/2022 của Hội đồng nhân dân tỉnh;
- Theo thống kê tại huyện Pác Nặm có 7.732 hộ gia đình (Mỗi hộ gia đình là 1 phiếu điều tra, 7.732 hộ gia đình tương đương 7.732 phiếu điều tra).
</t>
  </si>
  <si>
    <t>Phiếu</t>
  </si>
  <si>
    <t>Căn cứ nội dung, mức chi theo Nghị quyết số 19/2022/NQ-HĐND ngày 10/12/202 của HĐND tỉnh Bắc Kạn</t>
  </si>
  <si>
    <t>Hỗ trợ kinh phí chi thắp sáng ban đêm đối với lớp học xóa mù chữ</t>
  </si>
  <si>
    <t xml:space="preserve">Lớp </t>
  </si>
  <si>
    <t>Số lượng lớp học theo thực tế tại huyện Pác Nặm hiện đang có 25 lớp xóa mù chữ sẽ hoàn thành và kết thúc chương trình xóa mù chữ trong năm 2023.</t>
  </si>
  <si>
    <t>Chi hỗ trợ cho người tham gia hoạt động tuyên truyền, huy động người mù chữ, tái mù chữ đến lớp xóa mù chữ</t>
  </si>
  <si>
    <t>Số lượng người tham gia hoạt động tuyên truyền, huy động người mù chữ, tái mù chữ theo số lượng thực tế người mù chữ, tái mù chữ hoàn thành chương trình xóa mù chữ.</t>
  </si>
  <si>
    <t>Chi phụ cấp cho người làm công tác chủ nhiệm lớp xóa mù chữ</t>
  </si>
  <si>
    <t>Người/ tháng</t>
  </si>
  <si>
    <t>- Số lượng người làm công tác chủ nhiệm lớp xóa mù chữ là 25 người theo số lượng lớp xóa mù chữ thực tế năm 2023 tại huyện Pác Nặm;
- Mức chi 200.000đ/tháng * 9 tháng học</t>
  </si>
  <si>
    <t>Chi tiền công đối với những người tình nguyện tham gia giảng dạy các lớp xóa mù chữ (bao gồm giáo viên thuộc biên chế của cơ sở giáo dục công lập và những người ngoài biên chế có đủ tiêu chuẩn, năng lực giảng dạy)</t>
  </si>
  <si>
    <t>- Số lớp xóa mù chữ hoàn thành chương trình trong năm 2023: 25 lớp;
- Thời gian hoàn thành chương trình: 9 tháng học;
- Mức chi tiền công theo hợp đồng/tháng học, dự kiến: 
+ Tiền lương: 2,34x1.490.000 = 3.486.000đ; Phụ cấp đứng lớp: 70% x 3.486.000đ= 2.440.620đ Tổng: 5.926.620đ (làm tròn số: 6.000.000đ/tháng).</t>
  </si>
  <si>
    <r>
      <t xml:space="preserve">Chi khen thưởng cho học viên hoàn thành chương trình xóa mù chữ có thành tích. </t>
    </r>
    <r>
      <rPr>
        <i/>
        <sz val="12"/>
        <rFont val="Times New Roman"/>
        <family val="1"/>
      </rPr>
      <t>(25 người học có thành tích trong học lớp xóa mù chữ)</t>
    </r>
  </si>
  <si>
    <t xml:space="preserve"> '- Mức tiền thưởng (cấp xã) theo Điều 73 Nghị định 91/2017/NĐ-CP ngày  quy định chi tiết thi hành một số điều của Luật Thi đua, Khen thưởng, cụ thể:
- Mức tiền thưởng cá nhân: 0,15 lần mức lương cơ sở: 0,15* 1.490.000đ = 223.500đ;
- Mức tiền thưởng tập thể: 2 lần mức tiền thưởng cá nhân: 2* 223.500đ = 447.000đ.
</t>
  </si>
  <si>
    <r>
      <t xml:space="preserve">Chi khen thưởng cho tập thể có thành tích trong công tác xóa mù chữ </t>
    </r>
    <r>
      <rPr>
        <i/>
        <sz val="12"/>
        <rFont val="Times New Roman"/>
        <family val="1"/>
      </rPr>
      <t>(3 tập thể có thành tích trong vận động người tham gia hoàn thành chương trình xóa mù chữ)</t>
    </r>
  </si>
  <si>
    <t>VI</t>
  </si>
  <si>
    <t>Ủy ban nhân dân huyện Bạch Thông</t>
  </si>
  <si>
    <t>Bồi dưỡng văn nghệ</t>
  </si>
  <si>
    <t>- Căn cứ nội dung, mức chi theo Nghị quyết số 13/2014/NQ-HĐND và theo giá thị trường tại thời điểm thẩm định.</t>
  </si>
  <si>
    <t>Maket</t>
  </si>
  <si>
    <t>Pinmic, văn phòng phẩm,...</t>
  </si>
  <si>
    <t xml:space="preserve">- Căn cứ nội dung, mức chi theo Nghị quyết 19/2022/NQ-HĐND ngày 10/12/2022 của Hội đồng nhân dân tỉnh;
- Theo thống kê tại huyện Bạch Thông có 8.933 hộ gia đình (Mỗi hộ gia đình là 1 phiếu điều tra, 8.933 hộ gia đình tương đương 8.933 phiếu điều tra).
</t>
  </si>
  <si>
    <t>VII</t>
  </si>
  <si>
    <t>Ủy ban nhân dân thành phố Bắc Kạn</t>
  </si>
  <si>
    <t>Kinh phí cho tổ chức Tuần lễ hưởng ứng học tập suốt đời</t>
  </si>
  <si>
    <t>Theo giá thị trường tại thời điểm thẩm định.</t>
  </si>
  <si>
    <t xml:space="preserve">- Căn cứ nội dung, mức chi theo Nghị quyết 19/2022/NQ-HĐND ngày 10/12/2022 của Hội đồng nhân dân tỉnh;
- Theo thống kê tại thành phố Bắc Kạn có 13.510 hộ gia đình (Mỗi hộ gia đình là 1 phiếu điều tra, 13.510 hộ gia đình tương đương 13.510 phiếu điều tra).
</t>
  </si>
  <si>
    <t>VIII</t>
  </si>
  <si>
    <t>Ủy ban nhân dân huyện Chợ Mới</t>
  </si>
  <si>
    <r>
      <t xml:space="preserve">Kinh phí tổ chức Tuần lễ hưởng ứng học tập suốt đời </t>
    </r>
    <r>
      <rPr>
        <i/>
        <sz val="12"/>
        <rFont val="Times New Roman"/>
        <family val="1"/>
      </rPr>
      <t>(Hình thức tuyên truyền qua băng zôn, pano, áp phích)</t>
    </r>
  </si>
  <si>
    <t>- Căn cứ nội dung chi theo Nghị quyết 19/2022/NQ-HĐND ngày 10/12/2022 của Hội đồng nhân dân tỉnh;
- Mức chi theo giá thị trường tại thời điểm thẩm định.</t>
  </si>
  <si>
    <t>Băng zôn</t>
  </si>
  <si>
    <t>Pano</t>
  </si>
  <si>
    <t>Áp phích</t>
  </si>
  <si>
    <t xml:space="preserve">- Căn cứ nội dung, mức chi theo Nghị quyết 19/2022/NQ-HĐND ngày 10/12/2022 của Hội đồng nhân dân tỉnh;
- Theo thống kê tại huyện Chợ Mới có 10.903 hộ gia đình (Mỗi hộ gia đình là 1 phiếu điều tra, 10.903 hộ gia đình tương đương 10.903 phiếu điều tra).
</t>
  </si>
  <si>
    <t>2.1</t>
  </si>
  <si>
    <t>2.2</t>
  </si>
  <si>
    <t>2.3</t>
  </si>
  <si>
    <t>IX</t>
  </si>
  <si>
    <t>Ủy ban nhân dân huyện Ngân Sơn</t>
  </si>
  <si>
    <t xml:space="preserve">- Căn cứ nội dung, mức chi theo Nghị quyết 19/2022/NQ-HĐND ngày 10/12/2022 của Hội đồng nhân dân tỉnh;
- Theo thống kê tại huyện Ngân Sơn có 7.487 hộ gia đình (Mỗi hộ gia đình là 1 phiếu điều tra, 7.487 hộ gia đình tương đương 7.487 phiếu điều tra).
</t>
  </si>
  <si>
    <t>- Số lượng lớp xóa mù chữ: 25 lớp (mở lớp từ tháng 5/2023);
- Thời gian học: 8 tháng học.</t>
  </si>
  <si>
    <t xml:space="preserve">Hỗ trợ kinh phí thắp sáng ban đêm đối với lớp học xóa mù chữ </t>
  </si>
  <si>
    <t>- Mức chi theo điểm e  khoản 1 điều 2 Nghị quyết số 19/2022/NQ-HĐND: 100.000đ/tháng học * 9 tháng trong một giai đoạn học tập;
- Số lượng theo số lớp thực tế đang học tại huyện Ngân Sơn (mở tháng 5/2023) nên chỉ tính kinh phí thắp sáng ban đêm là 8 tháng học năm 2023.</t>
  </si>
  <si>
    <t xml:space="preserve">Kinh phí hỗ trợ người dân tham gia hoạt động tuyên truyền, huy động người mù chữ, tái mù chữ đến lớp xóa mù chữ </t>
  </si>
  <si>
    <t xml:space="preserve">Người </t>
  </si>
  <si>
    <t>Cơ quan chuyên môn không thẩm định kinh phí này do 06 lớp xóa mù chữ mở tháng 5/2023 và hoàn thành chương trình vào tháng 01/2024. Nên sau khi người mù chữ, tái mù chữ hoàn thành Chương trình xóa mù chữ thì người tham gia hoạt động tuyên truyền, huy động người mù chữ, tái mù chữ đến lớp xóa mù chữ mới được hưởng kinh phí hỗ trợ này.</t>
  </si>
  <si>
    <t>Kinh phí phụ cấp cho người làm công tác chủ nhiệm lớp xóa mù chữ (Tổng số: 06 lớp)</t>
  </si>
  <si>
    <t xml:space="preserve">Tháng </t>
  </si>
  <si>
    <t>- Mức chi theo điểm e  khoản 1 điều 2 Nghị quyết số 19/2022/NQ-HĐND;
- Do 06 lớp xóa mù chữ mở vào tháng 5/2023 nên chỉ tính phụ cấp cho người làm công tác chủ nhiệm lớp xóa mù chữ là 8 tháng.</t>
  </si>
  <si>
    <r>
      <t xml:space="preserve">Kinh phí tiền lương đối với giáo viên thuộc biên chế dạy lớp xóa mù chữ, chống tái mù chữ thuộc nhiệm vụ chuyên môn của cơ sở giáo dục đào tạo công lập </t>
    </r>
    <r>
      <rPr>
        <i/>
        <sz val="12"/>
        <rFont val="Times New Roman"/>
        <family val="1"/>
      </rPr>
      <t>(chi tiền dạy thêm giờ)</t>
    </r>
  </si>
  <si>
    <t>- Thời lượng Chương trình xóa mù chữ là 1.954 tiết (Giai đoạn 1: 1005 tiết; Giai đoạn 2: 949 tiết) theo Thông tư số 33/2021/TT-BGDĐT ngày 26/11/2021 của Bộ Giáo dục và Đào tạo.
- Số lượng 5.360 tiết, cụ thể lớp giai đoạn 1: 8 tháng * 6 lớp *1.005 tiết/9 tháng = 5.360 Tiết;
- Tính đơn giá: theo mức lương bình quân thực tế của giáo viên đang dạy 06 lớp xóa mù chữ, theo đó 1 tiết dạy học: 37.716đ/tiết dạy học;
- 01 Giáo viên dạy học đủ số tiết theo quy định là 23 tiết/tuần. Sau đó mới tính thừa giờ dạy cho chi phí dạy lớp xóa mù chữ, chống tái mù chữ.</t>
  </si>
  <si>
    <t>Đơn vị tiền: đồng</t>
  </si>
  <si>
    <t>(Kèm theo Báo cáo Thuyết minh của Ủy ban nhân dân tỉnh Bắc Kạn)</t>
  </si>
  <si>
    <t>(Kèm theo Báo cáo thuyết minh của Ủy ban nhân dân tỉnh Bắc Kạn)</t>
  </si>
  <si>
    <t>Kinh phí Xây dựng xã hội học tập trên địa bàn tỉnh Bắc Kạn</t>
  </si>
  <si>
    <t>Kinh phí hỗ trợ đào tạo nghề cho đối tượng là thanh niên hoàn thành nghĩa vụ quân sự, nghĩa vụ công an, thanh niên tình nguyện hoàn thành nhiệm vụ thực hiện chương trình, dự án phát triển kinh tế - xã hội trên địa bàn tỉnh Bắc Kạn</t>
  </si>
  <si>
    <t>BIỂU TỔNG HỢP KINH PHÍ THỰC HIỆN CÁC NHIỆM VỤ PHÁT SINH NĂM 2023 (BỔ SUNG LẦN 3)</t>
  </si>
  <si>
    <t>Số tiền</t>
  </si>
  <si>
    <t>Nguồn sự nghiệp giáo dục - đào tạo và dạy nghề tỉnh điều hành năm 2023</t>
  </si>
  <si>
    <t>Chi tiết theo Biểu số 01 đính kèm</t>
  </si>
  <si>
    <t>Nguồn Cải cách tiền lương năm 2023</t>
  </si>
  <si>
    <t>Nguồn kinh phí/Nhiệm vụ chi/Đơn vị thực hiện</t>
  </si>
  <si>
    <t xml:space="preserve">Kinh phí thực hiện chế độ, chính sách theo Nghị định số 108/2014/NĐ-CP, Nghị định số 113/2018/NĐ-CP và Nghị định số 143/2020/NĐ-CP của Chính phủ </t>
  </si>
  <si>
    <r>
      <rPr>
        <b/>
        <u/>
        <sz val="12"/>
        <color theme="1"/>
        <rFont val="Times New Roman"/>
        <family val="1"/>
      </rPr>
      <t>Ghi chú:</t>
    </r>
    <r>
      <rPr>
        <sz val="12"/>
        <color theme="1"/>
        <rFont val="Times New Roman"/>
        <family val="2"/>
      </rPr>
      <t xml:space="preserve"> 
 - Định mức chi phí đào tạo căn cứ theo Quyết định số 1791/QĐ-UBND ngày 29/9/2021 của Ủy ban nhân dân tỉnh về việc phê duyệt định mức chi phí đào tạo 08 nghề trình độ sơ cấp áp dụng cho thanh niên hoàn thành nghĩa vụ quân sự, nghĩa vụ công an, thanh niên tình nguyện hoàn thành nhiệm vụ thực hiện chương trình, dự án phát triển kinh tế - xã hội trên địa bàn tỉnh Bắc Kạn;
 - Chi phí tiền ăn, tiền xe đi lại căn cứ theo gạch đầu dòng thứ hai, điểm a, khoản 1, Điều 3 Thông tư số 43/2016/TT-BLĐTBXH ngày 28/12/2016 của Bộ Lao động, Thương binh và Xã hội về việc hướng dẫn thực hiện chính sách hỗ trợ đào tạo nghề cho các đối tượng quy định tại Điều 14 Nghị định số 61/2015/ND-CP ngày 09 tháng 7 năm 2015 của Chính phủ về chính sách hỗ trợ tạo việc làm và Quỹ quốc gia về việc làm;
 - Số ngày đào tạo căn cứ theo chương trình đào tạo đối với từng nghề của trường Cao đẳng Bắc Kạn;
 - Một thẻ học nghề có giá trị tương đương với 12 lần mức tiền lương cơ sở tại thời điểm đào tạo và quy định tại khoản 2, Điều 16 Nghị định số 61/2015/NĐ-CP. 
 - Số kinh phí đề xuất bố trí căn cứ theo từng nghề đào tạo, trường hợp số kinh phí hỗ trợ vượt giá trị thẻ học viên tự bù phần tăng thêm, trường hợp số hỗ trợ thấp hơn giá trị thẻ thì ngân sách hỗ trợ theo thực tế;
 - Số ngày học:
+ Đối với đào tạo lái xe: căn cứ theo Thông tư số 12/2017/TT-BGTVT ngày 15/4/2017 của Bộ Giao thông vận tải quy định về đào tạo, sát hạch, cấp giấy phép lái xe cơ giới đường bộ;
+ Đối với các nghề còn lại: Căn cứ Quyết định số 1160/QĐ-UBND ngày 07/7/2021 của Ủy ban nhân dân tỉnh Bắc Kạn về việc bổ sung, điều chỉnh định mức kinh tế kỹ thuật 07 nghề đào tạo áp dụng trong lĩnh vực giáo dục nghề nghiệp được phê duyệt tại Quyết định số 2038/QĐ-UBND ngày 04/12/2017 của Ủy ban nhân dân tỉnh Bắc Kạn.</t>
    </r>
  </si>
  <si>
    <t>BIỂU CHI TIẾT PHÂN BỔ VÀ GIAO DỰ TOÁN THỰC HIỆN CÁC DỰ ÁN HỖ TRỢ LIÊN KẾT TRONG SẢN XUẤT VÀ TIÊU THỤ SẢN PHẨM NÔNG NGHIỆP TRÊN ĐỊA BÀN TỈNH 
THEO NGHỊ QUYẾT SỐ 08/2019/NQ-HĐND ĐƯỢC PHÊ DUYỆT TIẾP TỤC THỰC HIỆN TRONG NĂM 2023</t>
  </si>
  <si>
    <t>TT</t>
  </si>
  <si>
    <t>Chủ đầu tư 
(chủ trì dự án)</t>
  </si>
  <si>
    <t>Địa chỉ</t>
  </si>
  <si>
    <t>Tên dự án</t>
  </si>
  <si>
    <t>Địa bàn 
thực hiện
dự án</t>
  </si>
  <si>
    <t>Nội dung dự án</t>
  </si>
  <si>
    <t>Quyết định phê duyệt danh mục</t>
  </si>
  <si>
    <t>Quyết định phê duyệt dự án</t>
  </si>
  <si>
    <t>Tổng dự toán kinh phí thực hiện
Dự án đã được phê duyệt</t>
  </si>
  <si>
    <t>Lũy kế kinh phí nhà nước đã hỗ trợ từ năm 2022 trờ về trước</t>
  </si>
  <si>
    <t>Nhu cầu vốn 2023</t>
  </si>
  <si>
    <t>Cơ quan tổng hợp đề nghị phân từ nguồn NSNN 
 năm 2023</t>
  </si>
  <si>
    <t>Cơ quan tài chính thẩm định phần NSNN hỗ trợ năm 2023</t>
  </si>
  <si>
    <t>Ghi chú</t>
  </si>
  <si>
    <t>Tổng cộng</t>
  </si>
  <si>
    <t>Đề nghị NSNN hỗ trợ</t>
  </si>
  <si>
    <t>Đối ứng</t>
  </si>
  <si>
    <t>Tổng nhu cầu kinh phí thực hiện năm 2023</t>
  </si>
  <si>
    <t>Trong đó:</t>
  </si>
  <si>
    <t>A</t>
  </si>
  <si>
    <t>B</t>
  </si>
  <si>
    <t>C</t>
  </si>
  <si>
    <t>D</t>
  </si>
  <si>
    <t>E</t>
  </si>
  <si>
    <t>1=2+3</t>
  </si>
  <si>
    <t>5=6+7</t>
  </si>
  <si>
    <t>CẤP TỈNH (02 Dự án)</t>
  </si>
  <si>
    <t>Hợp tác Bánh Chưng Xanh</t>
  </si>
  <si>
    <t>Thôn Pác Khoang, xã Yên Mỹ, huyện Chợ Đồn, tỉnh Bắc Kạn</t>
  </si>
  <si>
    <t>Dự án liên kết chăn nuôi và tiêu thụ lợn thương phẩm siêu nạc</t>
  </si>
  <si>
    <t>1. Tư vấn xây dựng liên kết</t>
  </si>
  <si>
    <t xml:space="preserve">Quyết định số 1889/QĐ-UBND ngày 11/10/2021 của UBND tỉnh </t>
  </si>
  <si>
    <t>2. Xây dựng mô hình khuyến nông</t>
  </si>
  <si>
    <t>2. Tập huấn kỹ thuật sản xuất</t>
  </si>
  <si>
    <t>3. Hỗ trợ giống, vật tư, thiết kế mẫu mã bao bì, nhãn mác sản phẩm</t>
  </si>
  <si>
    <t>Cộng</t>
  </si>
  <si>
    <t>Hợp tác xã Huy Ngọc</t>
  </si>
  <si>
    <t>Thôn Nà Ngân, xã Thượng Quan, huyện Ngân Sơn, tỉnh Bắc Kạn</t>
  </si>
  <si>
    <t>Dự án phát triển sản xuất liên kết theo chuỗi giá trị gắn với tiêu thụ sản phẩm lợn thịt thương phẩm</t>
  </si>
  <si>
    <t>Thôn Nà Ngần, Thượng Quạn, huyện Ngân Sơn, tỉnh Bắc Kạn</t>
  </si>
  <si>
    <t>Quyết định số 2117/QĐ-UBND ngày 08/11/2021 của UBND tỉnh</t>
  </si>
  <si>
    <t>CẤP HUYỆN (14 DỰ ÁN)</t>
  </si>
  <si>
    <t>THÀNH PHỐ BẮC KẠN (02 DỰ ÁN)</t>
  </si>
  <si>
    <t>HTX nông nghiệp Tân Thành</t>
  </si>
  <si>
    <t>Thôn Tân Thành, Xã Nông Thượng</t>
  </si>
  <si>
    <t>Dự án liên kết sản xuất gắn với tiêu thụ sản phẩm nghệ Bắc Kạn</t>
  </si>
  <si>
    <t>Xã Nông Thượng</t>
  </si>
  <si>
    <t>Thời gian thực hiện từ năm 2021- 2023.
Năm 2021, kinh phí đã phân bổ tại Quyết định số 2017/QĐ-UBND ngày 26/10/2021 là 350 triệu đồng.
Năm 2022, kinh phí đã phân bổ tại Quyết định số 1668/QĐ-UBND ngày 07/9/2022 là 560 triệu đồng.
Năm 2023, dự kiến phân bổ theo Quyết định 1600/QĐ-UBND ngày 30/7/2021 của UBND thành phố Bắc Kạn  320 triệu đồng</t>
  </si>
  <si>
    <t>4. Xây dựng mô hình khuyến nông</t>
  </si>
  <si>
    <t>HTX Minh Anh</t>
  </si>
  <si>
    <t>Tổ 6, phường Xuất Hóa</t>
  </si>
  <si>
    <t>Dự án sản xuất, chế biến, tiêu thụ nấm ăn, nấm dược liệu</t>
  </si>
  <si>
    <t>Xã Nông Thượng và xã Dương Quang</t>
  </si>
  <si>
    <t>HUYỆN BA BỂ (01 DỰ ÁN)</t>
  </si>
  <si>
    <t>HTX thủy sản sông Năng Ba Bể</t>
  </si>
  <si>
    <t>Tiểu khu 5, thị trấn Chợ Rã, huyện Ba Bể</t>
  </si>
  <si>
    <t>Dự án phát triển sản xuất liên kết theo chuỗi giá trị gắn với tiêu thụ sản phẩm thủy sản</t>
  </si>
  <si>
    <t>Xã Thượng Giáo, huyện Ba Bể</t>
  </si>
  <si>
    <t>1. Hạ tầng phục vụ liên kết</t>
  </si>
  <si>
    <t>Thời gian thực hiện từ năm 2021- 2023.
Năm 2021, kinh phí đã phân bổ tại Quyết định số 2017/QĐ-UBND ngày 26/10/2021 là 555 triệu đồng.
Năm 2022, kinh phí đã phân bổ tại Quyết định số 1668/QĐ-UBND ngày 07/9/2022 là 498 triệu đồng.
Năm 2023, dự kiến phân bổ theo huyện đề xuất là 300 triệu đồng (giảm 145,2 trđ so với Quyết định phê duyệt dự án do không thực hiện nội dung hỗ trợ hạ tầng phục vụ liên kết)</t>
  </si>
  <si>
    <t>2. Hỗ trợ giống, vật tư</t>
  </si>
  <si>
    <t>HUYỆN BẠCH THÔNG (02 DỰ ÁN)</t>
  </si>
  <si>
    <t>3.1</t>
  </si>
  <si>
    <t>HTX Hà Anh</t>
  </si>
  <si>
    <t>Thôn Nà Lốc, xã Nguyên Phúc, Huyện Bạch Thông</t>
  </si>
  <si>
    <t>Dự án Phát triển liên kết theo chuỗi giá trị gắn với SX tiêu thụ SP chăn nuôi lợn thịt</t>
  </si>
  <si>
    <t>xã Nguyên Phúc</t>
  </si>
  <si>
    <t>Thời gian thực hiện từ năm 2021- 2023.
Năm 2021, kinh phí đã phân bổ tại Quyết định số 2017/QĐ-UBND ngày 26/10/2021 là 382,551 triệu đồng.
Năm 2022, kinh phí đã phân bổ tại Quyết định số 1668/QĐ-UBND ngày 07/9/2022 là 313,261 triệu đồng.
Năm 2023, dự kiến phân bổ theo Quyết định 3553/QĐ-UBND ngày 15/9/2021 của UBND huyện Chợ Đồn 313,261 triệu đồng,</t>
  </si>
  <si>
    <t>3. Hỗ trợ giống, vật tư</t>
  </si>
  <si>
    <t>4. Hạ tầng</t>
  </si>
  <si>
    <t>3.2</t>
  </si>
  <si>
    <t>HTX An Bình</t>
  </si>
  <si>
    <t>Thôn 3B Nà Cà, xã Sỹ Bình, huyện Bạch Thông, tỉnh Bắc Kạn</t>
  </si>
  <si>
    <t xml:space="preserve">Dự án liên kết trong sản xuất và tiêu thụ sản phẩm từ hoa hồi của hợp tác xã An Bình </t>
  </si>
  <si>
    <t>Xã Bình</t>
  </si>
  <si>
    <t>HUYỆN CHỢ ĐỒN (03 DỰ ÁN)</t>
  </si>
  <si>
    <t>HTX Nông Nghiệp Ngọc Hải</t>
  </si>
  <si>
    <t>Thôn Cọn Pỏng, xã Nam Cường, huyện Chợ Đồn, tỉnh Bắc Kạn</t>
  </si>
  <si>
    <t xml:space="preserve">Dự án liên kết chăn nuôi gắn với tiêu thụ vịt siêu thịt thương phẩm
</t>
  </si>
  <si>
    <t>Xã Nam Cường và các xã lân cận trong huyện Chợ Đồn</t>
  </si>
  <si>
    <t>2, Tập huấn kỹ thuật</t>
  </si>
  <si>
    <t>3, Xây dựng mô hình khuyến nông</t>
  </si>
  <si>
    <t>4. Hỗ trợ giống, vật tư, thiết kế mẫu mã bao bì, nhãn mác sản phẩm</t>
  </si>
  <si>
    <t>HTX Sơn Lâm</t>
  </si>
  <si>
    <t>Tổ 12, Thị trấn Bằng Lũng, huyện Chợ Đồn, tỉnh Bắc Kạn</t>
  </si>
  <si>
    <t>Dự án liên kết sản xuất gắn với tiêu thụ sản phẩm gạo Japonica Chợ Đồn</t>
  </si>
  <si>
    <t>Xã Yên Phong và Bình Trung huyện Chợ Đồn</t>
  </si>
  <si>
    <t>3, Hỗ trợ hạ tầng phụ vụ liên kết</t>
  </si>
  <si>
    <t>5, Xây dựng mô hình khuyến nông</t>
  </si>
  <si>
    <t>HTX Việt Hoàng</t>
  </si>
  <si>
    <t>Thôn Bó Pết, xã Yên Thịnh, huyện Chợ Đồn, tỉnh Bắc Kạn</t>
  </si>
  <si>
    <t>Chuỗi liên kết chăn nuôi dê thương phẩm</t>
  </si>
  <si>
    <t>Xã Yên Thịnh huyện Chợ Đồn</t>
  </si>
  <si>
    <t xml:space="preserve">Phê duyệt tại Quyết định số 2950/QĐ-UBND ngày 12/8/2021 
và điều chỉnh tại Quyết định số 4338/QĐ-UBND ngày 29/12/2022 </t>
  </si>
  <si>
    <t>4, Hỗ trợ hạ tầng phục vụ liên kết</t>
  </si>
  <si>
    <t>5. Hỗ trợ giống, vật tư, thiết kế mẫu mã bao bì, nhãn mác sản phẩm</t>
  </si>
  <si>
    <t>HUYỆN CHỢ MỚI (03 DỰ ÁN)</t>
  </si>
  <si>
    <t>5.1</t>
  </si>
  <si>
    <t>HTX Thanh Mai</t>
  </si>
  <si>
    <t>Thôn trung tâm xã Thanh Mai</t>
  </si>
  <si>
    <t>Dự án Liên kết Chăn nuôi gắn với tiêu thụ sản phẩm vịt bầu cổ xanh thương phẩm</t>
  </si>
  <si>
    <t>Xã Thanh Mai</t>
  </si>
  <si>
    <t>4. Hỗ trợ hạ tầng liên kết</t>
  </si>
  <si>
    <t>5.2</t>
  </si>
  <si>
    <t>HTX Đoàn Kết</t>
  </si>
  <si>
    <t>Thôn Nà Cà 1, xã Cao Kỳ</t>
  </si>
  <si>
    <t>Dự án liên kết theo chuỗi giá trị gắn với tiêu thụ sản phẩm Mơ Vàng</t>
  </si>
  <si>
    <t>Xã Cao Kỳ</t>
  </si>
  <si>
    <t>Số 2316/QĐ-UBND ngày 21/12/2020  của UBND tỉnh</t>
  </si>
  <si>
    <t>5.3</t>
  </si>
  <si>
    <t>HTX Nông nghiệp Thanh niên Như Cố</t>
  </si>
  <si>
    <t>Thôn Nà Chào, xã Như Cố.</t>
  </si>
  <si>
    <t>Dự án liên kết theo chuỗi giá trị gắn với tiêu thụ sản phẩm mướp đắng rừng</t>
  </si>
  <si>
    <t>Xã Như Cố, Bính Văn, yên Cư.</t>
  </si>
  <si>
    <t>3. Hạ tầng phục vụ liên kết</t>
  </si>
  <si>
    <t>HUYỆN NA RÌ (02 DỰ ÁN)</t>
  </si>
  <si>
    <t>6.1</t>
  </si>
  <si>
    <t>HTX An Diệp</t>
  </si>
  <si>
    <t>Thôn Xưởng Cưa, xã Sơn Thành,huyện Na Rì, tỉnh Bắc Kạn</t>
  </si>
  <si>
    <t>Dự án liên kết trong sản xuất và tiêu thụ sản phẩm dê thương phẩm</t>
  </si>
  <si>
    <t>Xã Sơn Thành, huyện Na Rì, tỉnh Bắc Kạn</t>
  </si>
  <si>
    <t>Quyết định số 3195/QĐ-UBND ngày 17/9/2021</t>
  </si>
  <si>
    <t>4. Hỗ trợ hạ tầng phục vụ liên kết</t>
  </si>
  <si>
    <t>6.2</t>
  </si>
  <si>
    <t>HTX Bình Minh</t>
  </si>
  <si>
    <t>Thôn Bản Đâng, xã Trần Phú, huyện Na Rì, tỉnh Bắc Kạn</t>
  </si>
  <si>
    <t>Dự án liên kết trong sản xuất và tiêu thụ sản phẩm Khoai tây</t>
  </si>
  <si>
    <t>Xã Trần Phú, huyện Na Rì, tỉnh Bắc Kạn</t>
  </si>
  <si>
    <t>1. Tập huấn kỹ thuật sản xuất</t>
  </si>
  <si>
    <t>Quyết định số 3609/QĐ-UBND ngày 12/10/2021</t>
  </si>
  <si>
    <t>HUYỆN NGÂN SƠN (01 DỰ ÁN)</t>
  </si>
  <si>
    <t>7.1</t>
  </si>
  <si>
    <t xml:space="preserve">Hợp tác xã Hợp Phát </t>
  </si>
  <si>
    <t>Thôn Nặm Làng, xã Đức Vân, huyện Ngân Sơn, tỉnh Bắc Kạn</t>
  </si>
  <si>
    <t>Dự án liên kết xây dựng vùng nguyên liệu và tiêu thị sản phẩm Dẻ trên địa bàn huyện Ngân Sơn</t>
  </si>
  <si>
    <t>Xã Đức Vân, huyện Ngân Sơn, tỉnh Bắc Kạn</t>
  </si>
  <si>
    <t>4. Mua máy chế biến dẻ</t>
  </si>
  <si>
    <t>BIỂU TỔNG HỢP PHÂN BỔ VÀ GIAO DỰ TOÁN CHO CÁC ĐƠN VỊ, ĐỊA PHƯƠNG THỰC HIỆN DỰ ÁN HỖ TRỢ LIÊN KẾT TRONG SẢN XUẤT VÀ TIÊU THỤ SẢN PHẨM NÔNG NGHIỆP
 TRÊN ĐỊA BÀN TỈNH BẮC KẠN NĂM 2023</t>
  </si>
  <si>
    <t>Kinh phí ngân sách nhà nước hỗ trợ</t>
  </si>
  <si>
    <t>TỔNG SỐ</t>
  </si>
  <si>
    <t xml:space="preserve">DỰ ÁN CẤP TỈNH </t>
  </si>
  <si>
    <t>SỞ NÔNG NGHIỆP VÀ PHÁT TRIỂN NÔNG THÔN</t>
  </si>
  <si>
    <t>HTX Bánh Chưng xanh</t>
  </si>
  <si>
    <t>Liên kết chăn nuôi và tiêu thụ lợn thương phẩm siêu nạc</t>
  </si>
  <si>
    <t>HTX Huy Ngọc</t>
  </si>
  <si>
    <t>Dự án phát triển sản xuất liên kết theo chuỗi giá trị gắn với tiêu thụ sản phẩm Lợn sinh sản và lợn thịt thương phẩm</t>
  </si>
  <si>
    <t>DỰ ÁN CẤP HUYỆN</t>
  </si>
  <si>
    <t>THÀNH PHỐ BẮC KẠN</t>
  </si>
  <si>
    <t>HTX Nông nghiệp Tân Thành</t>
  </si>
  <si>
    <t>HUYỆN BA BỂ</t>
  </si>
  <si>
    <t>HTX Thủy Sản Sông Năng Ba Bể</t>
  </si>
  <si>
    <t>Dự án: Phát triển sản xuất liên kết theo chuỗi giá trị gắn với tiêu thụ sản phẩm thủy sản</t>
  </si>
  <si>
    <t>HUYỆN BẠCH THÔNG</t>
  </si>
  <si>
    <t> HTX Hà Anh</t>
  </si>
  <si>
    <t>Liên kết trong sản xuất và tiêu thụ sản phẩm chăn nuôi lợn thịt </t>
  </si>
  <si>
    <t>HUYỆN CHỢ ĐỒN</t>
  </si>
  <si>
    <t>HTX nông nghiệp Ngọc Hải</t>
  </si>
  <si>
    <t>Liên kết chăn nuôi gắn với tiêu thụ vịt siêu thịt thương phẩm</t>
  </si>
  <si>
    <t>HUYỆN CHỢ MỚI</t>
  </si>
  <si>
    <t>Hợp tác xã Thanh Mai</t>
  </si>
  <si>
    <t xml:space="preserve">Liên kết chăn nuôi gắn với tiêu thụ sản phẩm vịt bầu cổ xanh thương phẩm </t>
  </si>
  <si>
    <t>Dự án liên kết theo chuỗi giá trị gắn với tiêu thụ sản phẩm Mơ vàng</t>
  </si>
  <si>
    <t>HTX thanh niên Như Cố</t>
  </si>
  <si>
    <t xml:space="preserve"> Thực hiện Dự án liên kết theo chuỗi giá trị gắn với tiêu thụ sản phẩm mướp đắng rừng</t>
  </si>
  <si>
    <t>HUYỆN NA RÌ</t>
  </si>
  <si>
    <t>Dự án liên kết trong sản xuất và tiêu thụ sản phẩm khoai tây</t>
  </si>
  <si>
    <t>HUYỆN NGÂN SƠN</t>
  </si>
  <si>
    <t>HTX Hợp Phát</t>
  </si>
  <si>
    <t>Kế hoạch liên kết xây dựng vùng nguyên liệu và tiêu thụ sản phẩm Dẻ trên địa bàn huyện Ngân Sơn</t>
  </si>
  <si>
    <t>Nguồn sự nghiệp kinh tế tỉnh điều hành năm 2023</t>
  </si>
  <si>
    <t xml:space="preserve">Kinh phí để hỗ trợ thực hiện các dự án liên kết trong sản xuất và tiêu thụ sản phẩm nông nghiệp trên địa bàn tỉnh Bắc Kạn năm 2023 </t>
  </si>
  <si>
    <t>Sở Nông nghiệp và Phát triển nông thôn</t>
  </si>
  <si>
    <t>Chi tiết theo biểu số 3.1</t>
  </si>
  <si>
    <r>
      <t xml:space="preserve">Nguồn dự phòng ngân sách tỉnh điều hành </t>
    </r>
    <r>
      <rPr>
        <b/>
        <sz val="12"/>
        <color rgb="FFFF0000"/>
        <rFont val="Times New Roman"/>
        <family val="1"/>
      </rPr>
      <t>năm 2023</t>
    </r>
  </si>
  <si>
    <t>BIỂU TÍNH CHI TIẾT KINH PHÍ XÂY DỰNG XÃ HỘI HỌC TẬP TRÊN ĐỊA BÀN TỈNH BẮC KẠN NĂM 2023 THEO NGHỊ QUYẾT SỐ 19/2022/NQ-HĐND NGÀY 10/12/2022 CỦA HĐND TỈNH BẮC KẠN</t>
  </si>
  <si>
    <t xml:space="preserve"> - </t>
  </si>
  <si>
    <t>Chi tiết theo Biểu số 02 đính kèm</t>
  </si>
  <si>
    <t>Chi tiết theo Biểu số 03 và Biểu số 3.1 đính kèm</t>
  </si>
  <si>
    <t>Sở Lao động, Thương binh và Xã hội</t>
  </si>
  <si>
    <t>ĐƠN VỊ THỰC HIỆN: SỞ LAO ĐỘNG, THƯƠNG BINH VÀ XÃ HỘI</t>
  </si>
  <si>
    <t>Số kinh phí còn dư đã bố trí trong dự toán đầu năm 2023 cho nhiệm vụ này</t>
  </si>
  <si>
    <t>Thành tiền (Mức hỗ trợ tính theo dự toán chi tiết)</t>
  </si>
  <si>
    <t>Tổng nhu cầu kinh phí thực hiện hỗ trợ đào tạo nghề năm 2023</t>
  </si>
  <si>
    <t>Số kinh phí ngân sách nhà nước cần cấp bổ sung cho đơn vị năm 2023</t>
  </si>
  <si>
    <t>Các nội dung nhiệm vụ Sở Giáo dục và Đào tạo đề nghị đã được bố trí trong dự toán giao đầu năm 2023 tại Quyết định số 2388/QĐ-UBND ngày 10/12/2022 của Ủy ban nhân dân tỉnh. Do đó, cơ quan chuyên môn không thẩm định kinh phí các nhiệm vụ này cho đơn vị (Kinh phí lồng ghép vào một số nhiệm vụ bồi dưỡng, tập huấn, kiểm tra, đánh giá...)</t>
  </si>
  <si>
    <t>Áp dụng theo điểm a, số thứ tự 7, Phụ lục kèm theo Nghị quyết số 13/2014/NQ-HĐND</t>
  </si>
  <si>
    <t>Áp dụng theo điểm b, số thứ tự 4, Phụ lục kèm theo Nghị quyết số 13/2014/NQ-HĐND</t>
  </si>
  <si>
    <t>Nhiệm vụ tổ chức Tuần lễ hưởng ứng học tập suốt đời không phải soạn thảo Đề án, Kế hoạch nên cơ quan chuyên môn không thẩm định chi phí này.</t>
  </si>
  <si>
    <r>
      <t xml:space="preserve">Áp dụng theo </t>
    </r>
    <r>
      <rPr>
        <sz val="12"/>
        <color rgb="FF000000"/>
        <rFont val="Times New Roman"/>
        <family val="1"/>
      </rPr>
      <t>điểm</t>
    </r>
    <r>
      <rPr>
        <sz val="12"/>
        <color indexed="8"/>
        <rFont val="Times New Roman"/>
        <family val="1"/>
      </rPr>
      <t xml:space="preserve"> b, số thứ tự 2, Phụ lục kèm theo Nghị quyết số 13/2014/NQ-HĐND</t>
    </r>
  </si>
  <si>
    <t>Áp dụng theo điểm b, số thứ tự 2, Phụ lục kèm theo Nghị quyết số 13/2014/NQ-HĐND</t>
  </si>
  <si>
    <t>Áp dụng dụng theo điểm a, số thứ tự 7, Phụ lục kèm theo Nghị quyết số 13/2014/NQ-HĐND</t>
  </si>
  <si>
    <t>Áp dụng theo điểm b, số thứ tự 6, Phụ lục kèm theo Nghị quyết số 13/2014/NQ-HĐND</t>
  </si>
  <si>
    <t>Đơn vị tính: Đồng</t>
  </si>
  <si>
    <t>Quyết định số 2316/QĐ-UBND ngày 21/12/2020 của UBND tỉnh</t>
  </si>
  <si>
    <t>Quyết định số 2316/QĐ-UBND ngày 21/12/2020; điều chỉnh tại Quyết định số 2008/QĐ-UBND ngày 25/10/2021 của UBND tỉnh</t>
  </si>
  <si>
    <t>Quyết định số 1600/QĐ-UBND ngày 30/7/2021</t>
  </si>
  <si>
    <t>Quyết định số 2316/QĐ-UBND ngày 21/12/2020; điều chỉnh tại Quyết định số 794/QĐ-UBND ngày 03/6/2021 của UBND tỉnh</t>
  </si>
  <si>
    <t>Quyết định số 2226/QĐ-UBND ngày 18/10/2022</t>
  </si>
  <si>
    <t>Quyết định số 4502/QĐ-UBND ngày 26/9/2021</t>
  </si>
  <si>
    <t>Quyết định số 3553/QĐ-UBND ngày 15/9/2021</t>
  </si>
  <si>
    <t>Quyết định số 2309/QĐ-UBND ngày 12/8/2022</t>
  </si>
  <si>
    <t xml:space="preserve">Phê duyệt tại Quyết định số 487/QĐ-UBND ngày 11/3/2021 của UBND tỉnh
và điều chỉnh tại Quyết định số 3434/QĐ-UBND ngày 28/10/2022 </t>
  </si>
  <si>
    <t xml:space="preserve">Phê duyệt tại Quyết định số 235/QĐ-UBND ngày 01/2/2021 của UBND tỉnh
và điều chỉnh tại Quyết định số 4339/QĐ-UBND ngày 29/12/2022 </t>
  </si>
  <si>
    <t>Quyết định số 1653/QĐ-UBND ngày 23/8/2021 của UBND tỉnh</t>
  </si>
  <si>
    <t>Quyết định số 3402/QĐ-UBND ngày 30/11/2021 của UBND tỉnh</t>
  </si>
  <si>
    <t>Quyết định số 2316/QĐ-UBND ngày 21/12/2020  của UBND tỉnh</t>
  </si>
  <si>
    <t>Quyết định số 810a/QĐ-UBND ngày 04/5/2021 của UBND tỉnh</t>
  </si>
  <si>
    <t>Quyết định số 811a/QĐ-UBND ngày 04/5/2021 của UBND tỉnh</t>
  </si>
  <si>
    <t>Quyết định số 2102a/QĐ-UBND ngày 10/9/2021 của UBND tỉnh</t>
  </si>
  <si>
    <t>Thời gian thực hiện từ năm 2022- 2025.
Năm 2021, kinh phí đã phân bổ tại Quyết định số 2017/QĐ-UBND ngày 26/10/2021 là 307,042 triệu đồng.
Tuy nhiên, do không kịp triển khai thực hiện trong năm 2021 nên đơn vị đề nghị điều chỉnh thời gian thực hiện từ năm 2022 và đã được UBND tỉnh đồng ý tại Công văn số 8945/UBND-NNTNMT ngày 29/12/2021, đồng thời số kinh phí đã giao nêu trên đã được chuyển nguồn sang năm 2022.
Năm 2023, dự kiến phân bổ theo Quyết định 2309/QĐ-UBND ngày 12/8/2022 của UBND huyện Bạch Thông 348,645 riệu đồng,</t>
  </si>
  <si>
    <t>Thời gian thực hiện từ năm 2022- 2024. 
Năm 2021, kinh phí đã phân bổ tại Quyết định số 2017/QĐ-UBND ngày 26/10/2021 là 338,6468 triệu đồng. Tuy nhiên, do không kịp triển khai thực hiện trong năm 2021 nên đơn vị đề nghị điều chỉnh thời gian thực hiện từ năm 2022 và đã được UBND tỉnh đồng ý tại Công văn số 1321/UBND-NNTNMT ngày 04/3/2022, đồng thời số kinh phí đã giao nêu trên đã được chuyển nguồn sang năm 2022.
Năm 2023, dự kiến phân bổ theo Quyết định số 2226/QĐ-UBND ngày 18/10/2022 của UBND thành phố Bắc Kạn  165,947 triệu đồng.</t>
  </si>
  <si>
    <t>Thời gian thực hiện từ năm 2021- 2023.
Năm 2021, kinh phí đã phân bổ tại Quyết định số 2017/QĐ-UBND ngày 26/10/2021 là 362,311 triệu đồng.
Năm 2022, kinh phí đã phân bổ tại Quyết định số 1668/QĐ-UBND ngày 07/9/2022 là 479,89 triệu đồng.
Năm 2023, dự kiến phân bổ theo Quyết định số 1889/QĐ-UBND ngày 11/10/2021 của UBND tỉnh 313,261 triệu đồng</t>
  </si>
  <si>
    <t>Thời gian thực hiện từ năm 2021- 2023.
Năm 2021, kinh phí đã phân bổ tại Quyết định số 2017/QĐ-UBND ngày 26/10/2021 là 362,311 triệu đồng.
Năm 2022, kinh phí đã phân bổ tại Quyết định số 1668/QĐ-UBND ngày 07/9/2022 là 479,89 triệu đồng.
Năm 2023, dự kiến phân bổ theo Quyết định số 1889/QĐ-UBND ngày 11/10/2021 của UBND tỉnh 313,261 triệu đồng.</t>
  </si>
  <si>
    <t>Thời gian thực hiện từ năm 2022- 2025.
Năm 2021, kinh phí đã phân bổ tại Quyết định số 2017/QĐ-UBND ngày 26/10/2021 là 369,792 triệu đồng; Số huyện đã điều chỉnh giảm 30,396 triệu đồng.
Năm 2022, kinh phí đã phân bổ tại Quyết định số 1668/QĐ-UBND ngày 07/9/2022 là 520,6436 triệu đồng. Số huyện điều chỉnh giảm năm 2022 là 24,3168 triệu đồng.
Năm 2023, dự kiến phân bổ theo Quyết định 3434/QĐ-UBND ngày 28/10/2020 của UBND huyện Chợ Đồn 320,264 triệu đồng.</t>
  </si>
  <si>
    <t>Thời gian thực hiện từ năm 2021- 2023.
Năm 2021, kinh phí đã phân bổ tại Quyết định số 2017/QĐ-UBND ngày 26/10/2021 là 419,6225 triệu đồng. Số huyện đã điều chỉnh giảm 50,59849 triệu đồng.
Năm 2022, kinh phí đã phân bổ tại Quyết định số 1100/QĐ-UBND ngày 20/6/2022 là 413,608 triệu đồng.Số huyện đã điều chỉnh giảm 15,21969 triệu đồng.
Năm 2023, dự kiến phân bổ theo Quyết định 4339/QĐ-UBND ngày 29/12/2022 của UBND huyện Chợ Đồn 437,561 triệu đồng.</t>
  </si>
  <si>
    <t>Thời gian thực hiện từ năm 2021- 2023.
Năm 2021, kinh phí đã phân bổ tại Quyết định số 2017/QĐ-UBND ngày 26/10/2021 là 367,748 triệu đồng. Số huyện đã điều chỉnh giảm 28,9805 triệu đồng.
Năm 2022, kinh phí đã phân bổ tại Quyết định số 1668/QĐ-UBND ngày 07/9/2022 là 467,861 triệu đồng.Số huyện đã điều chỉnh giảm 6,6305 triệu đồng.
Năm 2023, dự kiến phân bổ theo Quyết định 4338/QĐ-UBND ngày 29/12/2022 của UBND huyện Chợ Đồn 306,63 triệu đồng.</t>
  </si>
  <si>
    <t>Thời gian thực hiện từ năm 2021- 2023.
Năm 2021, kinh phí đã phân bổ tại Quyết định số 2017/QĐ-UBND ngày 26/10/2021 là 205,551 triệu đồng. Số huyện đã điều chỉnh giảm 41,325 triệu đồng.
Năm 2022, kinh phí đã phân bổ tại Quyết định số 1668/QĐ-UBND ngày 07/9/2022 là 221,2085 triệu đồng.
Năm 2023, dự kiến phân bổ theo Quyết định 3402/QĐ-UBND ngày 30/11/2021 của UBND huyện Chợ Mới 213,708 triệu đồng.</t>
  </si>
  <si>
    <t>Thời gian thực hiện từ năm 2021- 2023.
Năm 2021, kinh phí đã phân bổ tại Quyết định số 2017/QĐ-UBND ngày 26/10/2021 là 356,1034 triệu đồng; số huyện đã điều chỉnh giảm 4,3018 triệu đồng.
Năm 2022, kinh phí đã phân bổ tại Quyết định số 1668/QĐ-UBND ngày 07/9/2022 là 332,6115 triệu đồng.
Năm 2023, dự kiến phân bổ theo Quyết định  810a/QĐ-UBND ngày 04/5/2021 của UBND huyện Chợ Mới 325,111 triệu đồng.</t>
  </si>
  <si>
    <t>Thời gian thực hiện từ năm 2021- 2023.
Năm 2021, kinh phí đã phân bổ tại Quyết định số 2017/QĐ-UBND ngày 26/10/2021 là 151,4455 triệu đồng.
Năm 2022, kinh phí đã phân bổ tại Quyết định số 1668/QĐ-UBND ngày 07/9/2022 là 116,9975 triệu đồng.
Năm 2023, dự kiến phân bổ theo huyện đề xuất là 97,315 triệu đồng (giảm 6,995 trđ so với Quyết định phê duyệt dự án).</t>
  </si>
  <si>
    <t>Thời gian thực hiện từ năm 2021- 2023.
Năm 2021, kinh phí đã phân bổ tại Quyết định số 2017/QĐ-UBND ngày 26/10/2021 là 380,9704 triệu đồng.
Năm 2022, kinh phí đã phân bổ tại Quyết định số 1668/QĐ-UBND ngày 07/9/2022 là 351,9132 triệu đồng.
Năm 2023, dự kiến phân bổ theo Quyết định số 3195/QĐ-UBND ngày 17/9/2021 của UBND huyện Na Rì 313,261 triệu đồng.</t>
  </si>
  <si>
    <t>Thời gian thực hiện từ năm 2021- 2023.
Năm 2021, kinh phí đã phân bổ tại Quyết định số 2017/QĐ-UBND ngày 26/10/2021 là 319,5 triệu đồng.
Năm 2022, kinh phí đã phân bổ tại Quyết định số 1668/QĐ-UBND ngày 07/9/2022 là 300 triệu đồng.
Năm 2023, dự kiến phân bổ theo Quyết định số 3609/QĐ-UBND ngày 12/10/2021 của UBND huyện Na Rì 300 triệu đồng.</t>
  </si>
  <si>
    <t>Thời gian thực hiện từ năm 2021- 2023.
Năm 2021, kinh phí đã phân bổ tại Quyết định số 2017/QĐ-UBND ngày 26/10/2021 là 169,5 triệu đồng. Số huyện đã điều chỉnh giảm: 8 triệu đồng.
Năm 2022, kinh phí đã phân bổ tại Quyết định số 1668/QĐ-UBND ngày 07/9/2022 là 243,2 triệu đồng.
Năm 2023, dự kiến phân bổ theo Quyết định số 2102a/QĐ-UBND ngày 10/102021 của UBND huyện Ngân Sơn 58,5 triệu đồng.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</si>
</sst>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3" formatCode="_(* #,##0.00_);_(* \(#,##0.00\);_(* &quot;-&quot;??_);_(@_)"/>
    <numFmt numFmtId="164" formatCode="_-* #,##0\ _₫_-;\-* #,##0\ _₫_-;_-* &quot;-&quot;??\ _₫_-;_-@_-"/>
    <numFmt numFmtId="165" formatCode="_(* #,##0.0_);_(* \(#,##0.0\);_(* &quot;-&quot;??_);_(@_)"/>
    <numFmt numFmtId="166" formatCode="_-* #,##0.000\ _₫_-;\-* #,##0.000\ _₫_-;_-* &quot;-&quot;??\ _₫_-;_-@_-"/>
    <numFmt numFmtId="167" formatCode="_(* #,##0.0_);_(* \(#,##0.0\);_(* &quot;-&quot;_);_(@_)"/>
    <numFmt numFmtId="168" formatCode="_(* #,##0_);_(* \(#,##0\);_(* &quot;-&quot;??_);_(@_)"/>
  </numFmts>
  <fonts count="34">
    <font>
      <sz val="12"/>
      <color theme="1"/>
      <name val="Times New Roman"/>
      <family val="2"/>
    </font>
    <font>
      <b/>
      <sz val="12"/>
      <color theme="1"/>
      <name val="Times New Roman"/>
      <family val="1"/>
    </font>
    <font>
      <i/>
      <sz val="12"/>
      <color theme="1"/>
      <name val="Times New Roman"/>
      <family val="1"/>
    </font>
    <font>
      <sz val="12"/>
      <color theme="1"/>
      <name val="Times New Roman"/>
      <family val="1"/>
    </font>
    <font>
      <b/>
      <u/>
      <sz val="12"/>
      <color theme="1"/>
      <name val="Times New Roman"/>
      <family val="1"/>
    </font>
    <font>
      <sz val="12"/>
      <color theme="1"/>
      <name val="Times New Roman"/>
      <family val="2"/>
    </font>
    <font>
      <b/>
      <sz val="12"/>
      <color indexed="8"/>
      <name val="Times New Roman"/>
      <family val="1"/>
    </font>
    <font>
      <b/>
      <i/>
      <sz val="12"/>
      <name val="Times New Roman"/>
      <family val="1"/>
    </font>
    <font>
      <b/>
      <sz val="12"/>
      <name val="Times New Roman"/>
      <family val="1"/>
    </font>
    <font>
      <i/>
      <sz val="12"/>
      <name val="Times New Roman"/>
      <family val="1"/>
    </font>
    <font>
      <sz val="12"/>
      <name val="Times New Roman"/>
      <family val="1"/>
    </font>
    <font>
      <sz val="12"/>
      <color indexed="8"/>
      <name val="Times New Roman"/>
      <family val="1"/>
    </font>
    <font>
      <sz val="12"/>
      <name val=".VnTime"/>
      <family val="2"/>
    </font>
    <font>
      <sz val="12"/>
      <color rgb="FF000000"/>
      <name val="TimesNewRomanPSMT"/>
    </font>
    <font>
      <sz val="10"/>
      <name val="Arial"/>
      <family val="2"/>
    </font>
    <font>
      <sz val="12"/>
      <name val="TimesNewRomanPSMT"/>
    </font>
    <font>
      <sz val="12"/>
      <color rgb="FF000000"/>
      <name val="Times New Roman"/>
      <family val="1"/>
    </font>
    <font>
      <b/>
      <sz val="12"/>
      <name val="TimesNewRomanPS-BoldItalicMT"/>
      <charset val="163"/>
    </font>
    <font>
      <i/>
      <sz val="12"/>
      <color indexed="8"/>
      <name val="Times New Roman"/>
      <family val="1"/>
    </font>
    <font>
      <i/>
      <sz val="12"/>
      <color rgb="FF000000"/>
      <name val="Times New Roman"/>
      <family val="1"/>
    </font>
    <font>
      <b/>
      <sz val="14"/>
      <color theme="1"/>
      <name val="Times New Roman"/>
      <family val="1"/>
    </font>
    <font>
      <i/>
      <sz val="14"/>
      <color theme="1"/>
      <name val="Times New Roman"/>
      <family val="1"/>
    </font>
    <font>
      <sz val="14"/>
      <color theme="1"/>
      <name val="Times New Roman"/>
      <family val="1"/>
    </font>
    <font>
      <b/>
      <sz val="14"/>
      <name val="Times New Roman"/>
      <family val="1"/>
    </font>
    <font>
      <sz val="14"/>
      <name val="Times New Roman"/>
      <family val="1"/>
    </font>
    <font>
      <i/>
      <sz val="14"/>
      <name val="Times New Roman"/>
      <family val="1"/>
    </font>
    <font>
      <i/>
      <sz val="10"/>
      <name val="Times New Roman"/>
      <family val="1"/>
    </font>
    <font>
      <b/>
      <sz val="13"/>
      <name val="Arial Narrow"/>
      <family val="2"/>
    </font>
    <font>
      <sz val="13"/>
      <name val="Arial Narrow"/>
      <family val="2"/>
    </font>
    <font>
      <b/>
      <i/>
      <sz val="13"/>
      <name val="Arial Narrow"/>
      <family val="2"/>
    </font>
    <font>
      <b/>
      <i/>
      <sz val="12"/>
      <name val="Times New Roman"/>
      <family val="1"/>
      <charset val="163"/>
    </font>
    <font>
      <u/>
      <sz val="7.7"/>
      <color theme="10"/>
      <name val="Calibri"/>
      <family val="2"/>
      <charset val="163"/>
    </font>
    <font>
      <sz val="11"/>
      <color theme="1"/>
      <name val="Calibri"/>
      <family val="2"/>
      <scheme val="minor"/>
    </font>
    <font>
      <b/>
      <sz val="12"/>
      <color rgb="FFFF0000"/>
      <name val="Times New Roman"/>
      <family val="1"/>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top style="thin">
        <color indexed="64"/>
      </top>
      <bottom/>
      <diagonal/>
    </border>
    <border>
      <left/>
      <right/>
      <top/>
      <bottom style="thin">
        <color indexed="64"/>
      </bottom>
      <diagonal/>
    </border>
    <border>
      <left/>
      <right/>
      <top style="hair">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1">
    <xf numFmtId="0" fontId="0" fillId="0" borderId="0"/>
    <xf numFmtId="43" fontId="5" fillId="0" borderId="0" applyFont="0" applyFill="0" applyBorder="0" applyAlignment="0" applyProtection="0"/>
    <xf numFmtId="41" fontId="5" fillId="0" borderId="0" applyFont="0" applyFill="0" applyBorder="0" applyAlignment="0" applyProtection="0"/>
    <xf numFmtId="0" fontId="5" fillId="0" borderId="0"/>
    <xf numFmtId="0" fontId="12" fillId="0" borderId="0"/>
    <xf numFmtId="43" fontId="5" fillId="0" borderId="0" applyFont="0" applyFill="0" applyBorder="0" applyAlignment="0" applyProtection="0"/>
    <xf numFmtId="0" fontId="5" fillId="0" borderId="0"/>
    <xf numFmtId="43" fontId="14" fillId="0" borderId="0" applyFont="0" applyFill="0" applyBorder="0" applyAlignment="0" applyProtection="0"/>
    <xf numFmtId="0" fontId="31" fillId="0" borderId="0" applyNumberFormat="0" applyFill="0" applyBorder="0" applyAlignment="0" applyProtection="0">
      <alignment vertical="top"/>
      <protection locked="0"/>
    </xf>
    <xf numFmtId="0" fontId="14" fillId="0" borderId="0"/>
    <xf numFmtId="0" fontId="32" fillId="0" borderId="0"/>
  </cellStyleXfs>
  <cellXfs count="358">
    <xf numFmtId="0" fontId="0" fillId="0" borderId="0" xfId="0"/>
    <xf numFmtId="0" fontId="0" fillId="0" borderId="0" xfId="0" applyAlignment="1">
      <alignment wrapText="1"/>
    </xf>
    <xf numFmtId="0" fontId="1" fillId="0" borderId="0" xfId="0" applyFont="1" applyAlignment="1">
      <alignment wrapText="1"/>
    </xf>
    <xf numFmtId="0" fontId="1" fillId="0" borderId="0" xfId="0" applyFont="1" applyAlignment="1">
      <alignment vertical="center" wrapText="1"/>
    </xf>
    <xf numFmtId="0" fontId="2" fillId="0" borderId="0" xfId="0" applyFont="1" applyAlignment="1">
      <alignment wrapText="1"/>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0" fontId="1" fillId="0" borderId="8" xfId="0" applyFont="1" applyBorder="1" applyAlignment="1">
      <alignment horizontal="center" wrapText="1"/>
    </xf>
    <xf numFmtId="0" fontId="1" fillId="0" borderId="8" xfId="0" applyFont="1" applyBorder="1" applyAlignment="1">
      <alignment wrapText="1"/>
    </xf>
    <xf numFmtId="3" fontId="1" fillId="0" borderId="8" xfId="0" applyNumberFormat="1" applyFont="1" applyBorder="1" applyAlignment="1">
      <alignment horizontal="right" vertical="center" wrapText="1"/>
    </xf>
    <xf numFmtId="0" fontId="1" fillId="0" borderId="9" xfId="0" applyFont="1" applyBorder="1" applyAlignment="1">
      <alignment horizontal="center" wrapText="1"/>
    </xf>
    <xf numFmtId="0" fontId="1" fillId="0" borderId="9" xfId="0" applyFont="1" applyBorder="1" applyAlignment="1">
      <alignment wrapText="1"/>
    </xf>
    <xf numFmtId="3" fontId="1" fillId="0" borderId="9" xfId="0" applyNumberFormat="1" applyFont="1" applyBorder="1" applyAlignment="1">
      <alignment horizontal="right" vertical="center" wrapText="1"/>
    </xf>
    <xf numFmtId="0" fontId="2" fillId="0" borderId="9" xfId="0" applyFont="1" applyBorder="1" applyAlignment="1">
      <alignment horizontal="center" wrapText="1"/>
    </xf>
    <xf numFmtId="0" fontId="2" fillId="0" borderId="9" xfId="0" applyFont="1" applyBorder="1" applyAlignment="1">
      <alignment wrapText="1"/>
    </xf>
    <xf numFmtId="3" fontId="2" fillId="0" borderId="9" xfId="0" applyNumberFormat="1" applyFont="1" applyBorder="1" applyAlignment="1">
      <alignment horizontal="right" vertical="center" wrapText="1"/>
    </xf>
    <xf numFmtId="0" fontId="0" fillId="0" borderId="9" xfId="0" applyBorder="1" applyAlignment="1">
      <alignment horizontal="center" wrapText="1"/>
    </xf>
    <xf numFmtId="0" fontId="0" fillId="0" borderId="9" xfId="0" applyBorder="1" applyAlignment="1">
      <alignment wrapText="1"/>
    </xf>
    <xf numFmtId="3" fontId="0" fillId="0" borderId="9" xfId="0" applyNumberFormat="1" applyBorder="1" applyAlignment="1">
      <alignment horizontal="center" vertical="center" wrapText="1"/>
    </xf>
    <xf numFmtId="3" fontId="0" fillId="0" borderId="9" xfId="0" applyNumberFormat="1" applyBorder="1" applyAlignment="1">
      <alignment horizontal="right" vertical="center" wrapText="1"/>
    </xf>
    <xf numFmtId="3" fontId="2" fillId="0" borderId="9" xfId="0" applyNumberFormat="1" applyFont="1" applyBorder="1" applyAlignment="1">
      <alignment horizontal="center" vertical="center" wrapText="1"/>
    </xf>
    <xf numFmtId="3" fontId="1" fillId="0" borderId="9" xfId="0" applyNumberFormat="1" applyFont="1" applyBorder="1" applyAlignment="1">
      <alignment horizontal="center" vertical="center" wrapText="1"/>
    </xf>
    <xf numFmtId="0" fontId="0" fillId="0" borderId="10" xfId="0" applyBorder="1" applyAlignment="1">
      <alignment horizontal="center" wrapText="1"/>
    </xf>
    <xf numFmtId="0" fontId="0" fillId="0" borderId="10" xfId="0" applyBorder="1" applyAlignment="1">
      <alignment wrapText="1"/>
    </xf>
    <xf numFmtId="3" fontId="0" fillId="0" borderId="10" xfId="0" applyNumberFormat="1" applyBorder="1" applyAlignment="1">
      <alignment horizontal="center" vertical="center" wrapText="1"/>
    </xf>
    <xf numFmtId="3" fontId="0" fillId="0" borderId="10" xfId="0" applyNumberFormat="1" applyBorder="1" applyAlignment="1">
      <alignment horizontal="right" vertical="center" wrapText="1"/>
    </xf>
    <xf numFmtId="0" fontId="0" fillId="0" borderId="9" xfId="0" applyBorder="1" applyAlignment="1">
      <alignment vertical="center" wrapText="1"/>
    </xf>
    <xf numFmtId="3" fontId="0" fillId="0" borderId="11" xfId="0" applyNumberFormat="1" applyBorder="1" applyAlignment="1">
      <alignment horizontal="center" vertical="center" wrapText="1"/>
    </xf>
    <xf numFmtId="3" fontId="0" fillId="0" borderId="6" xfId="0" applyNumberFormat="1" applyBorder="1" applyAlignment="1">
      <alignment horizontal="center" vertical="center" wrapText="1"/>
    </xf>
    <xf numFmtId="3" fontId="0" fillId="0" borderId="12" xfId="0" applyNumberFormat="1" applyBorder="1" applyAlignment="1">
      <alignment horizontal="center" vertical="center" wrapText="1"/>
    </xf>
    <xf numFmtId="3" fontId="0" fillId="0" borderId="7" xfId="0" applyNumberFormat="1" applyBorder="1" applyAlignment="1">
      <alignment horizontal="center" vertical="center" wrapText="1"/>
    </xf>
    <xf numFmtId="0" fontId="1" fillId="0" borderId="5" xfId="0" applyFont="1" applyBorder="1" applyAlignment="1">
      <alignment horizontal="center" vertical="center" wrapText="1"/>
    </xf>
    <xf numFmtId="0" fontId="2" fillId="0" borderId="0" xfId="0" applyFont="1" applyAlignment="1">
      <alignment horizontal="right" wrapText="1"/>
    </xf>
    <xf numFmtId="0" fontId="1" fillId="0" borderId="0" xfId="0" applyFont="1" applyAlignment="1">
      <alignment horizontal="right" wrapText="1"/>
    </xf>
    <xf numFmtId="0" fontId="1" fillId="2" borderId="9" xfId="0" applyFont="1" applyFill="1" applyBorder="1" applyAlignment="1">
      <alignment horizontal="center" wrapText="1"/>
    </xf>
    <xf numFmtId="0" fontId="1" fillId="2" borderId="9" xfId="0" applyFont="1" applyFill="1" applyBorder="1" applyAlignment="1">
      <alignment wrapText="1"/>
    </xf>
    <xf numFmtId="3" fontId="1" fillId="2" borderId="9" xfId="0" applyNumberFormat="1" applyFont="1" applyFill="1" applyBorder="1" applyAlignment="1">
      <alignment horizontal="center" vertical="center" wrapText="1"/>
    </xf>
    <xf numFmtId="3" fontId="1" fillId="2" borderId="9" xfId="0" applyNumberFormat="1" applyFont="1" applyFill="1" applyBorder="1" applyAlignment="1">
      <alignment horizontal="right" vertical="center" wrapText="1"/>
    </xf>
    <xf numFmtId="0" fontId="1" fillId="2" borderId="0" xfId="0" applyFont="1" applyFill="1" applyAlignment="1">
      <alignment wrapText="1"/>
    </xf>
    <xf numFmtId="0" fontId="0" fillId="2" borderId="9" xfId="0" applyFill="1" applyBorder="1" applyAlignment="1">
      <alignment horizontal="center" wrapText="1"/>
    </xf>
    <xf numFmtId="0" fontId="0" fillId="2" borderId="9" xfId="0" applyFill="1" applyBorder="1" applyAlignment="1">
      <alignment wrapText="1"/>
    </xf>
    <xf numFmtId="3" fontId="0" fillId="2" borderId="9" xfId="0" applyNumberFormat="1" applyFill="1" applyBorder="1" applyAlignment="1">
      <alignment horizontal="center" vertical="center" wrapText="1"/>
    </xf>
    <xf numFmtId="3" fontId="0" fillId="2" borderId="9" xfId="0" applyNumberFormat="1" applyFill="1" applyBorder="1" applyAlignment="1">
      <alignment horizontal="right" vertical="center" wrapText="1"/>
    </xf>
    <xf numFmtId="3" fontId="0" fillId="2" borderId="11" xfId="0" applyNumberFormat="1" applyFill="1" applyBorder="1" applyAlignment="1">
      <alignment horizontal="center" vertical="center" wrapText="1"/>
    </xf>
    <xf numFmtId="0" fontId="0" fillId="2" borderId="0" xfId="0" applyFill="1" applyAlignment="1">
      <alignment wrapText="1"/>
    </xf>
    <xf numFmtId="3" fontId="0" fillId="2" borderId="6" xfId="0" applyNumberFormat="1" applyFill="1" applyBorder="1" applyAlignment="1">
      <alignment horizontal="center" vertical="center" wrapText="1"/>
    </xf>
    <xf numFmtId="3" fontId="0" fillId="2" borderId="12" xfId="0" applyNumberFormat="1" applyFill="1" applyBorder="1" applyAlignment="1">
      <alignment horizontal="center" vertical="center" wrapText="1"/>
    </xf>
    <xf numFmtId="0" fontId="3" fillId="2" borderId="0" xfId="3" applyFont="1" applyFill="1" applyAlignment="1">
      <alignment horizontal="center" vertical="center" wrapText="1"/>
    </xf>
    <xf numFmtId="0" fontId="3" fillId="2" borderId="0" xfId="3" applyFont="1" applyFill="1" applyAlignment="1">
      <alignment horizontal="center" vertical="center"/>
    </xf>
    <xf numFmtId="0" fontId="3" fillId="2" borderId="0" xfId="3" applyFont="1" applyFill="1" applyAlignment="1">
      <alignment vertical="center"/>
    </xf>
    <xf numFmtId="0" fontId="7" fillId="2" borderId="0" xfId="0" applyFont="1" applyFill="1" applyAlignment="1">
      <alignment horizontal="center" vertical="center"/>
    </xf>
    <xf numFmtId="0" fontId="9" fillId="2" borderId="0" xfId="3" applyFont="1" applyFill="1" applyAlignment="1">
      <alignment horizontal="center" vertical="center" wrapText="1"/>
    </xf>
    <xf numFmtId="0" fontId="2" fillId="2" borderId="0" xfId="3" applyFont="1" applyFill="1" applyAlignment="1">
      <alignment vertical="center" wrapText="1"/>
    </xf>
    <xf numFmtId="0" fontId="2" fillId="2" borderId="0" xfId="3" applyFont="1" applyFill="1" applyAlignment="1">
      <alignment horizontal="center" vertical="center" wrapText="1"/>
    </xf>
    <xf numFmtId="0" fontId="8" fillId="2" borderId="1" xfId="3" applyFont="1" applyFill="1" applyBorder="1" applyAlignment="1">
      <alignment horizontal="center" vertical="center" wrapText="1"/>
    </xf>
    <xf numFmtId="3" fontId="8" fillId="2" borderId="1" xfId="3" applyNumberFormat="1" applyFont="1" applyFill="1" applyBorder="1" applyAlignment="1">
      <alignment horizontal="center" vertical="center" wrapText="1"/>
    </xf>
    <xf numFmtId="0" fontId="8" fillId="2" borderId="8" xfId="3" applyFont="1" applyFill="1" applyBorder="1" applyAlignment="1">
      <alignment horizontal="center" vertical="center"/>
    </xf>
    <xf numFmtId="0" fontId="8" fillId="2" borderId="8" xfId="3" applyFont="1" applyFill="1" applyBorder="1" applyAlignment="1">
      <alignment horizontal="center" vertical="center" wrapText="1"/>
    </xf>
    <xf numFmtId="3" fontId="8" fillId="2" borderId="8" xfId="3" applyNumberFormat="1" applyFont="1" applyFill="1" applyBorder="1" applyAlignment="1">
      <alignment horizontal="right" vertical="center" wrapText="1"/>
    </xf>
    <xf numFmtId="3" fontId="0" fillId="0" borderId="0" xfId="0" applyNumberFormat="1"/>
    <xf numFmtId="0" fontId="8" fillId="2" borderId="9" xfId="0" applyFont="1" applyFill="1" applyBorder="1" applyAlignment="1">
      <alignment horizontal="center" vertical="center"/>
    </xf>
    <xf numFmtId="0" fontId="8" fillId="2" borderId="9" xfId="0" applyFont="1" applyFill="1" applyBorder="1" applyAlignment="1">
      <alignment horizontal="justify" vertical="center" wrapText="1"/>
    </xf>
    <xf numFmtId="0" fontId="6" fillId="2" borderId="9" xfId="0" applyFont="1" applyFill="1" applyBorder="1" applyAlignment="1">
      <alignment horizontal="center" vertical="center" wrapText="1"/>
    </xf>
    <xf numFmtId="3" fontId="6" fillId="2" borderId="9" xfId="0" applyNumberFormat="1" applyFont="1" applyFill="1" applyBorder="1" applyAlignment="1">
      <alignment horizontal="right" vertical="center" wrapText="1"/>
    </xf>
    <xf numFmtId="3" fontId="6" fillId="2" borderId="9" xfId="0" applyNumberFormat="1" applyFont="1" applyFill="1" applyBorder="1" applyAlignment="1">
      <alignment vertical="center" wrapText="1"/>
    </xf>
    <xf numFmtId="49" fontId="10" fillId="2" borderId="9" xfId="4" applyNumberFormat="1" applyFont="1" applyFill="1" applyBorder="1" applyAlignment="1">
      <alignment horizontal="center" vertical="center"/>
    </xf>
    <xf numFmtId="0" fontId="10" fillId="2" borderId="9" xfId="0" applyFont="1" applyFill="1" applyBorder="1" applyAlignment="1">
      <alignment horizontal="justify" vertical="center" wrapText="1"/>
    </xf>
    <xf numFmtId="0" fontId="3" fillId="2" borderId="9" xfId="4" applyFont="1" applyFill="1" applyBorder="1" applyAlignment="1">
      <alignment horizontal="center" vertical="center" wrapText="1"/>
    </xf>
    <xf numFmtId="3" fontId="3" fillId="2" borderId="9" xfId="4" applyNumberFormat="1" applyFont="1" applyFill="1" applyBorder="1" applyAlignment="1">
      <alignment horizontal="right" vertical="center"/>
    </xf>
    <xf numFmtId="3" fontId="3" fillId="2" borderId="9" xfId="5" applyNumberFormat="1" applyFont="1" applyFill="1" applyBorder="1" applyAlignment="1">
      <alignment horizontal="right" vertical="center"/>
    </xf>
    <xf numFmtId="49" fontId="10" fillId="2" borderId="9" xfId="4" quotePrefix="1" applyNumberFormat="1" applyFont="1" applyFill="1" applyBorder="1" applyAlignment="1">
      <alignment horizontal="center" vertical="center"/>
    </xf>
    <xf numFmtId="0" fontId="13" fillId="2" borderId="9" xfId="0" applyFont="1" applyFill="1" applyBorder="1" applyAlignment="1">
      <alignment vertical="center" wrapText="1"/>
    </xf>
    <xf numFmtId="3" fontId="3" fillId="2" borderId="9" xfId="5" applyNumberFormat="1" applyFont="1" applyFill="1" applyBorder="1" applyAlignment="1">
      <alignment horizontal="right" vertical="center" wrapText="1"/>
    </xf>
    <xf numFmtId="3" fontId="8" fillId="2" borderId="9" xfId="0" applyNumberFormat="1" applyFont="1" applyFill="1" applyBorder="1" applyAlignment="1">
      <alignment horizontal="right" vertical="center" wrapText="1"/>
    </xf>
    <xf numFmtId="0" fontId="11" fillId="2" borderId="9" xfId="0" applyFont="1" applyFill="1" applyBorder="1" applyAlignment="1">
      <alignment vertical="center" wrapText="1"/>
    </xf>
    <xf numFmtId="0" fontId="10" fillId="2" borderId="9" xfId="4" applyFont="1" applyFill="1" applyBorder="1" applyAlignment="1">
      <alignment horizontal="center" vertical="center"/>
    </xf>
    <xf numFmtId="3" fontId="11" fillId="2" borderId="9" xfId="0" applyNumberFormat="1" applyFont="1" applyFill="1" applyBorder="1" applyAlignment="1">
      <alignment horizontal="right" vertical="center"/>
    </xf>
    <xf numFmtId="3" fontId="10" fillId="2" borderId="9" xfId="1" applyNumberFormat="1" applyFont="1" applyFill="1" applyBorder="1" applyAlignment="1">
      <alignment horizontal="right" vertical="center"/>
    </xf>
    <xf numFmtId="0" fontId="10" fillId="2" borderId="9" xfId="4" quotePrefix="1" applyFont="1" applyFill="1" applyBorder="1" applyAlignment="1">
      <alignment horizontal="center" vertical="center"/>
    </xf>
    <xf numFmtId="3" fontId="6" fillId="2" borderId="9" xfId="0" applyNumberFormat="1" applyFont="1" applyFill="1" applyBorder="1" applyAlignment="1">
      <alignment horizontal="right" vertical="center"/>
    </xf>
    <xf numFmtId="0" fontId="11" fillId="2" borderId="9" xfId="0" applyFont="1" applyFill="1" applyBorder="1" applyAlignment="1">
      <alignment horizontal="justify" vertical="center" wrapText="1"/>
    </xf>
    <xf numFmtId="0" fontId="10" fillId="2" borderId="9" xfId="0" applyFont="1" applyFill="1" applyBorder="1" applyAlignment="1">
      <alignment horizontal="center" vertical="center"/>
    </xf>
    <xf numFmtId="0" fontId="11" fillId="2" borderId="9" xfId="0" applyFont="1" applyFill="1" applyBorder="1" applyAlignment="1">
      <alignment horizontal="center" vertical="center" wrapText="1"/>
    </xf>
    <xf numFmtId="3" fontId="11" fillId="2" borderId="9" xfId="1" applyNumberFormat="1" applyFont="1" applyFill="1" applyBorder="1" applyAlignment="1">
      <alignment horizontal="right" vertical="center"/>
    </xf>
    <xf numFmtId="0" fontId="15" fillId="2" borderId="9" xfId="0" applyFont="1" applyFill="1" applyBorder="1" applyAlignment="1">
      <alignment horizontal="justify" vertical="center" wrapText="1"/>
    </xf>
    <xf numFmtId="3" fontId="13" fillId="2" borderId="9" xfId="0" applyNumberFormat="1" applyFont="1" applyFill="1" applyBorder="1" applyAlignment="1">
      <alignment horizontal="right" vertical="center" wrapText="1"/>
    </xf>
    <xf numFmtId="0" fontId="13" fillId="2" borderId="9" xfId="0" applyFont="1" applyFill="1" applyBorder="1" applyAlignment="1">
      <alignment horizontal="center" vertical="center" wrapText="1"/>
    </xf>
    <xf numFmtId="0" fontId="0" fillId="2" borderId="0" xfId="0" applyFill="1"/>
    <xf numFmtId="0" fontId="17" fillId="2" borderId="9" xfId="0" applyFont="1" applyFill="1" applyBorder="1" applyAlignment="1">
      <alignment horizontal="justify" vertical="center" wrapText="1"/>
    </xf>
    <xf numFmtId="3" fontId="1" fillId="2" borderId="9" xfId="5" applyNumberFormat="1" applyFont="1" applyFill="1" applyBorder="1" applyAlignment="1">
      <alignment horizontal="right" vertical="center"/>
    </xf>
    <xf numFmtId="3" fontId="11" fillId="2" borderId="9" xfId="0" applyNumberFormat="1" applyFont="1" applyFill="1" applyBorder="1" applyAlignment="1">
      <alignment horizontal="right" vertical="center" wrapText="1"/>
    </xf>
    <xf numFmtId="0" fontId="6" fillId="2" borderId="9" xfId="0" applyFont="1" applyFill="1" applyBorder="1" applyAlignment="1">
      <alignment horizontal="left" vertical="center" wrapText="1"/>
    </xf>
    <xf numFmtId="0" fontId="6" fillId="2" borderId="9"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9" xfId="0" quotePrefix="1" applyFont="1" applyFill="1" applyBorder="1" applyAlignment="1">
      <alignment vertical="center" wrapText="1"/>
    </xf>
    <xf numFmtId="3" fontId="11" fillId="2" borderId="9" xfId="1" applyNumberFormat="1" applyFont="1" applyFill="1" applyBorder="1" applyAlignment="1">
      <alignment vertical="center"/>
    </xf>
    <xf numFmtId="3" fontId="6" fillId="2" borderId="9" xfId="1" applyNumberFormat="1" applyFont="1" applyFill="1" applyBorder="1" applyAlignment="1">
      <alignment horizontal="right" vertical="center"/>
    </xf>
    <xf numFmtId="0" fontId="3" fillId="2" borderId="9" xfId="6" applyFont="1" applyFill="1" applyBorder="1" applyAlignment="1">
      <alignment horizontal="left" vertical="center" wrapText="1"/>
    </xf>
    <xf numFmtId="0" fontId="9" fillId="2" borderId="9" xfId="0" applyFont="1" applyFill="1" applyBorder="1" applyAlignment="1">
      <alignment horizontal="center" vertical="center"/>
    </xf>
    <xf numFmtId="0" fontId="9" fillId="2" borderId="9" xfId="0" quotePrefix="1" applyFont="1" applyFill="1" applyBorder="1" applyAlignment="1">
      <alignment vertical="center" wrapText="1"/>
    </xf>
    <xf numFmtId="0" fontId="18" fillId="2" borderId="9" xfId="0" applyFont="1" applyFill="1" applyBorder="1" applyAlignment="1">
      <alignment horizontal="center" vertical="center" wrapText="1"/>
    </xf>
    <xf numFmtId="3" fontId="18" fillId="2" borderId="9" xfId="0" applyNumberFormat="1" applyFont="1" applyFill="1" applyBorder="1" applyAlignment="1">
      <alignment horizontal="right" vertical="center"/>
    </xf>
    <xf numFmtId="3" fontId="18" fillId="2" borderId="9" xfId="1" applyNumberFormat="1" applyFont="1" applyFill="1" applyBorder="1" applyAlignment="1">
      <alignment horizontal="right" vertical="center"/>
    </xf>
    <xf numFmtId="3" fontId="2" fillId="2" borderId="9" xfId="5" applyNumberFormat="1" applyFont="1" applyFill="1" applyBorder="1" applyAlignment="1">
      <alignment horizontal="right" vertical="center"/>
    </xf>
    <xf numFmtId="0" fontId="18" fillId="2" borderId="9" xfId="0" applyFont="1" applyFill="1" applyBorder="1" applyAlignment="1">
      <alignment horizontal="center" vertical="center"/>
    </xf>
    <xf numFmtId="0" fontId="11" fillId="2" borderId="9" xfId="0" applyFont="1" applyFill="1" applyBorder="1" applyAlignment="1">
      <alignment horizontal="left" vertical="center" wrapText="1"/>
    </xf>
    <xf numFmtId="3" fontId="11" fillId="2" borderId="9" xfId="1" applyNumberFormat="1" applyFont="1" applyFill="1" applyBorder="1" applyAlignment="1">
      <alignment horizontal="right" vertical="center" wrapText="1"/>
    </xf>
    <xf numFmtId="3" fontId="11" fillId="2" borderId="9" xfId="0" applyNumberFormat="1" applyFont="1" applyFill="1" applyBorder="1" applyAlignment="1">
      <alignment vertical="center" wrapText="1"/>
    </xf>
    <xf numFmtId="0" fontId="18" fillId="2" borderId="9" xfId="0" applyFont="1" applyFill="1" applyBorder="1" applyAlignment="1">
      <alignment horizontal="left" vertical="center" wrapText="1"/>
    </xf>
    <xf numFmtId="3" fontId="18" fillId="2" borderId="9" xfId="1" applyNumberFormat="1" applyFont="1" applyFill="1" applyBorder="1" applyAlignment="1">
      <alignment horizontal="right" vertical="center" wrapText="1"/>
    </xf>
    <xf numFmtId="3" fontId="18" fillId="2" borderId="9" xfId="0" applyNumberFormat="1" applyFont="1" applyFill="1" applyBorder="1" applyAlignment="1">
      <alignment horizontal="right" vertical="center" wrapText="1"/>
    </xf>
    <xf numFmtId="3" fontId="18" fillId="2" borderId="9" xfId="0" applyNumberFormat="1" applyFont="1" applyFill="1" applyBorder="1" applyAlignment="1">
      <alignment vertical="center" wrapText="1"/>
    </xf>
    <xf numFmtId="0" fontId="10" fillId="2" borderId="9" xfId="0" applyFont="1" applyFill="1" applyBorder="1" applyAlignment="1">
      <alignment vertical="center" wrapText="1"/>
    </xf>
    <xf numFmtId="0" fontId="9" fillId="2" borderId="9" xfId="0" applyFont="1" applyFill="1" applyBorder="1" applyAlignment="1">
      <alignment vertical="center" wrapText="1"/>
    </xf>
    <xf numFmtId="0" fontId="2"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3" fontId="3" fillId="2" borderId="9" xfId="0" applyNumberFormat="1" applyFont="1" applyFill="1" applyBorder="1" applyAlignment="1">
      <alignment horizontal="right" vertical="center"/>
    </xf>
    <xf numFmtId="3" fontId="3" fillId="2" borderId="9" xfId="1" applyNumberFormat="1" applyFont="1" applyFill="1" applyBorder="1" applyAlignment="1">
      <alignment horizontal="right" vertical="center"/>
    </xf>
    <xf numFmtId="3" fontId="3" fillId="2" borderId="9" xfId="1" applyNumberFormat="1" applyFont="1" applyFill="1" applyBorder="1" applyAlignment="1">
      <alignment vertical="center"/>
    </xf>
    <xf numFmtId="0" fontId="9" fillId="2" borderId="9" xfId="0" applyFont="1" applyFill="1" applyBorder="1" applyAlignment="1">
      <alignment horizontal="justify" vertical="center" wrapText="1"/>
    </xf>
    <xf numFmtId="3" fontId="1" fillId="2" borderId="9" xfId="0" applyNumberFormat="1" applyFont="1" applyFill="1" applyBorder="1" applyAlignment="1">
      <alignment vertical="center" wrapText="1"/>
    </xf>
    <xf numFmtId="3" fontId="3" fillId="2" borderId="9" xfId="7" applyNumberFormat="1" applyFont="1" applyFill="1" applyBorder="1" applyAlignment="1">
      <alignment horizontal="right" vertical="center"/>
    </xf>
    <xf numFmtId="3" fontId="3" fillId="2" borderId="9" xfId="7" applyNumberFormat="1" applyFont="1" applyFill="1" applyBorder="1" applyAlignment="1">
      <alignment vertical="center"/>
    </xf>
    <xf numFmtId="0" fontId="3" fillId="2" borderId="9" xfId="0" applyFont="1" applyFill="1" applyBorder="1" applyAlignment="1">
      <alignment vertical="center" wrapText="1"/>
    </xf>
    <xf numFmtId="0" fontId="3" fillId="2" borderId="9" xfId="0" quotePrefix="1" applyFont="1" applyFill="1" applyBorder="1" applyAlignment="1">
      <alignment vertical="center" wrapText="1"/>
    </xf>
    <xf numFmtId="0" fontId="10" fillId="2" borderId="10" xfId="0" applyFont="1" applyFill="1" applyBorder="1" applyAlignment="1">
      <alignment horizontal="center" vertical="center"/>
    </xf>
    <xf numFmtId="3" fontId="6" fillId="2" borderId="9" xfId="1" applyNumberFormat="1" applyFont="1" applyFill="1" applyBorder="1" applyAlignment="1">
      <alignment vertical="center"/>
    </xf>
    <xf numFmtId="0" fontId="10" fillId="2" borderId="9" xfId="0" applyFont="1" applyFill="1" applyBorder="1" applyAlignment="1">
      <alignment horizontal="justify" vertical="center"/>
    </xf>
    <xf numFmtId="0" fontId="10" fillId="2" borderId="10" xfId="0" applyFont="1" applyFill="1" applyBorder="1" applyAlignment="1">
      <alignment horizontal="justify" vertical="center" wrapText="1"/>
    </xf>
    <xf numFmtId="0" fontId="11" fillId="2" borderId="10" xfId="0" applyFont="1" applyFill="1" applyBorder="1" applyAlignment="1">
      <alignment horizontal="center" vertical="center" wrapText="1"/>
    </xf>
    <xf numFmtId="3" fontId="3" fillId="2" borderId="10" xfId="5" applyNumberFormat="1" applyFont="1" applyFill="1" applyBorder="1" applyAlignment="1">
      <alignment horizontal="right" vertical="center"/>
    </xf>
    <xf numFmtId="0" fontId="11" fillId="2" borderId="9" xfId="0" quotePrefix="1" applyFont="1" applyFill="1" applyBorder="1" applyAlignment="1">
      <alignment horizontal="justify" vertical="center" wrapText="1"/>
    </xf>
    <xf numFmtId="3" fontId="11" fillId="2" borderId="10" xfId="0" applyNumberFormat="1" applyFont="1" applyFill="1" applyBorder="1" applyAlignment="1">
      <alignment horizontal="right" vertical="center" wrapText="1"/>
    </xf>
    <xf numFmtId="0" fontId="11" fillId="2" borderId="10" xfId="0" quotePrefix="1" applyFont="1" applyFill="1" applyBorder="1" applyAlignment="1">
      <alignment horizontal="justify" vertical="center" wrapText="1"/>
    </xf>
    <xf numFmtId="0" fontId="3" fillId="0" borderId="9" xfId="0" applyFont="1" applyBorder="1" applyAlignment="1">
      <alignment horizontal="left" vertical="center" wrapText="1"/>
    </xf>
    <xf numFmtId="3" fontId="3" fillId="0" borderId="9" xfId="0" applyNumberFormat="1" applyFont="1" applyBorder="1" applyAlignment="1">
      <alignment horizontal="right" vertical="center" wrapText="1"/>
    </xf>
    <xf numFmtId="0" fontId="22" fillId="0" borderId="0" xfId="0" applyFont="1" applyAlignment="1">
      <alignment vertical="center" wrapText="1"/>
    </xf>
    <xf numFmtId="0" fontId="3" fillId="0" borderId="9" xfId="0" applyFont="1" applyBorder="1" applyAlignment="1">
      <alignment horizontal="center" vertical="center" wrapText="1"/>
    </xf>
    <xf numFmtId="3" fontId="1" fillId="0" borderId="1" xfId="0" applyNumberFormat="1" applyFont="1" applyBorder="1" applyAlignment="1">
      <alignment horizontal="center" vertical="center" wrapText="1"/>
    </xf>
    <xf numFmtId="3" fontId="0" fillId="0" borderId="0" xfId="0" applyNumberFormat="1" applyAlignment="1">
      <alignment wrapText="1"/>
    </xf>
    <xf numFmtId="0" fontId="1" fillId="0" borderId="1" xfId="0" applyFont="1" applyBorder="1" applyAlignment="1">
      <alignment wrapText="1"/>
    </xf>
    <xf numFmtId="3" fontId="1" fillId="0" borderId="1" xfId="0" applyNumberFormat="1" applyFont="1" applyBorder="1" applyAlignment="1">
      <alignment vertical="center" wrapText="1"/>
    </xf>
    <xf numFmtId="0" fontId="0" fillId="0" borderId="1" xfId="0" applyBorder="1" applyAlignment="1">
      <alignment wrapText="1"/>
    </xf>
    <xf numFmtId="3" fontId="0" fillId="0" borderId="1" xfId="0" applyNumberFormat="1" applyBorder="1" applyAlignment="1">
      <alignment vertical="center" wrapText="1"/>
    </xf>
    <xf numFmtId="0" fontId="0" fillId="0" borderId="1" xfId="0" applyBorder="1" applyAlignment="1">
      <alignment horizontal="center" wrapText="1"/>
    </xf>
    <xf numFmtId="0" fontId="22" fillId="0" borderId="0" xfId="0" applyFont="1" applyAlignment="1">
      <alignment horizontal="center" vertical="center" wrapText="1"/>
    </xf>
    <xf numFmtId="0" fontId="1" fillId="0" borderId="1" xfId="0" applyFont="1" applyBorder="1" applyAlignment="1">
      <alignment horizontal="center" wrapText="1"/>
    </xf>
    <xf numFmtId="0" fontId="0" fillId="0" borderId="0" xfId="0" applyAlignment="1">
      <alignment horizontal="center" wrapText="1"/>
    </xf>
    <xf numFmtId="0" fontId="8" fillId="2" borderId="8" xfId="3" applyFont="1" applyFill="1" applyBorder="1" applyAlignment="1">
      <alignment horizontal="right" vertical="center" wrapText="1"/>
    </xf>
    <xf numFmtId="3" fontId="1" fillId="2" borderId="8" xfId="3" applyNumberFormat="1" applyFont="1" applyFill="1" applyBorder="1" applyAlignment="1">
      <alignment horizontal="right" vertical="center" wrapText="1"/>
    </xf>
    <xf numFmtId="0" fontId="8" fillId="2" borderId="9" xfId="3" applyFont="1" applyFill="1" applyBorder="1" applyAlignment="1">
      <alignment horizontal="center" vertical="center"/>
    </xf>
    <xf numFmtId="0" fontId="8" fillId="2" borderId="9" xfId="3" applyFont="1" applyFill="1" applyBorder="1" applyAlignment="1">
      <alignment horizontal="justify" vertical="center"/>
    </xf>
    <xf numFmtId="0" fontId="8" fillId="2" borderId="9" xfId="3" applyFont="1" applyFill="1" applyBorder="1" applyAlignment="1">
      <alignment horizontal="center" vertical="center" wrapText="1"/>
    </xf>
    <xf numFmtId="3" fontId="8" fillId="2" borderId="9" xfId="3" applyNumberFormat="1" applyFont="1" applyFill="1" applyBorder="1" applyAlignment="1">
      <alignment horizontal="right" vertical="center" wrapText="1"/>
    </xf>
    <xf numFmtId="0" fontId="10" fillId="2" borderId="9" xfId="3" applyFont="1" applyFill="1" applyBorder="1" applyAlignment="1">
      <alignment horizontal="justify" vertical="center" wrapText="1"/>
    </xf>
    <xf numFmtId="0" fontId="8" fillId="2" borderId="9" xfId="3" applyFont="1" applyFill="1" applyBorder="1" applyAlignment="1">
      <alignment horizontal="justify" vertical="center" wrapText="1"/>
    </xf>
    <xf numFmtId="3" fontId="8" fillId="2" borderId="9" xfId="3" applyNumberFormat="1" applyFont="1" applyFill="1" applyBorder="1" applyAlignment="1">
      <alignment vertical="center" wrapText="1"/>
    </xf>
    <xf numFmtId="3" fontId="8" fillId="2" borderId="9" xfId="3" applyNumberFormat="1" applyFont="1" applyFill="1" applyBorder="1" applyAlignment="1">
      <alignment horizontal="right" vertical="center"/>
    </xf>
    <xf numFmtId="3" fontId="8" fillId="2" borderId="9" xfId="0" applyNumberFormat="1" applyFont="1" applyFill="1" applyBorder="1" applyAlignment="1">
      <alignment horizontal="right" vertical="center"/>
    </xf>
    <xf numFmtId="0" fontId="8" fillId="2" borderId="9" xfId="0" applyFont="1" applyFill="1" applyBorder="1" applyAlignment="1">
      <alignment horizontal="justify" vertical="center"/>
    </xf>
    <xf numFmtId="0" fontId="6" fillId="2" borderId="9" xfId="0" quotePrefix="1" applyFont="1" applyFill="1" applyBorder="1" applyAlignment="1">
      <alignment horizontal="left" vertical="center" wrapText="1"/>
    </xf>
    <xf numFmtId="3" fontId="6" fillId="2" borderId="9" xfId="1" applyNumberFormat="1" applyFont="1" applyFill="1" applyBorder="1" applyAlignment="1">
      <alignment horizontal="right" vertical="center" wrapText="1"/>
    </xf>
    <xf numFmtId="0" fontId="1" fillId="2" borderId="9" xfId="0" applyFont="1" applyFill="1" applyBorder="1" applyAlignment="1">
      <alignment horizontal="center" vertical="center" wrapText="1"/>
    </xf>
    <xf numFmtId="0" fontId="10" fillId="0" borderId="15" xfId="0" applyFont="1" applyBorder="1" applyAlignment="1">
      <alignment wrapText="1"/>
    </xf>
    <xf numFmtId="3" fontId="6" fillId="2" borderId="9" xfId="1" applyNumberFormat="1" applyFont="1" applyFill="1" applyBorder="1" applyAlignment="1">
      <alignment horizontal="center" vertical="center"/>
    </xf>
    <xf numFmtId="0" fontId="11" fillId="2" borderId="9" xfId="0" quotePrefix="1" applyFont="1" applyFill="1" applyBorder="1" applyAlignment="1">
      <alignment horizontal="left"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horizontal="left" vertical="center" wrapText="1"/>
    </xf>
    <xf numFmtId="3" fontId="1" fillId="0" borderId="9" xfId="0" applyNumberFormat="1" applyFont="1" applyBorder="1" applyAlignment="1">
      <alignment vertical="center" wrapText="1"/>
    </xf>
    <xf numFmtId="3" fontId="0" fillId="0" borderId="9" xfId="0" applyNumberFormat="1" applyBorder="1" applyAlignment="1">
      <alignment vertical="center" wrapText="1"/>
    </xf>
    <xf numFmtId="3" fontId="0" fillId="0" borderId="10" xfId="0" applyNumberFormat="1" applyBorder="1" applyAlignment="1">
      <alignment vertical="center" wrapText="1"/>
    </xf>
    <xf numFmtId="0" fontId="24" fillId="0" borderId="0" xfId="0" applyFont="1" applyAlignment="1">
      <alignment vertical="center" wrapText="1"/>
    </xf>
    <xf numFmtId="0" fontId="24" fillId="0" borderId="0" xfId="0" applyFont="1" applyAlignment="1">
      <alignment horizontal="center" vertical="center" wrapText="1"/>
    </xf>
    <xf numFmtId="0" fontId="24" fillId="0" borderId="0" xfId="0" applyFont="1" applyAlignment="1">
      <alignment horizontal="left" vertical="center" wrapText="1"/>
    </xf>
    <xf numFmtId="41" fontId="24" fillId="0" borderId="0" xfId="2" applyFont="1" applyFill="1" applyAlignment="1">
      <alignment horizontal="right" vertical="center" wrapText="1"/>
    </xf>
    <xf numFmtId="0" fontId="25" fillId="0" borderId="14" xfId="0" applyFont="1" applyBorder="1" applyAlignment="1">
      <alignment vertical="center" wrapText="1"/>
    </xf>
    <xf numFmtId="164" fontId="26" fillId="0" borderId="14" xfId="1" applyNumberFormat="1" applyFont="1" applyFill="1" applyBorder="1" applyAlignment="1">
      <alignment vertical="center" wrapText="1"/>
    </xf>
    <xf numFmtId="0" fontId="8" fillId="0" borderId="0" xfId="0" applyFont="1" applyAlignment="1">
      <alignment horizontal="center" vertical="center" wrapText="1"/>
    </xf>
    <xf numFmtId="0" fontId="10" fillId="0" borderId="0" xfId="0" applyFont="1" applyAlignment="1">
      <alignment horizontal="center" vertical="center" wrapText="1"/>
    </xf>
    <xf numFmtId="41" fontId="8" fillId="0" borderId="1" xfId="2" applyFont="1" applyFill="1" applyBorder="1" applyAlignment="1">
      <alignment horizontal="center" vertical="center" wrapText="1"/>
    </xf>
    <xf numFmtId="0" fontId="9" fillId="0" borderId="7" xfId="0" applyFont="1" applyBorder="1" applyAlignment="1">
      <alignment horizontal="center" vertical="center" wrapText="1"/>
    </xf>
    <xf numFmtId="0" fontId="9" fillId="0" borderId="1" xfId="2" applyNumberFormat="1" applyFont="1" applyFill="1" applyBorder="1" applyAlignment="1">
      <alignment horizontal="center" vertical="center" wrapText="1"/>
    </xf>
    <xf numFmtId="0" fontId="9" fillId="0" borderId="1" xfId="1" applyNumberFormat="1" applyFont="1" applyFill="1" applyBorder="1" applyAlignment="1">
      <alignment horizontal="center" vertical="center" wrapText="1"/>
    </xf>
    <xf numFmtId="0" fontId="9" fillId="0" borderId="0" xfId="0" applyFont="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left" vertical="center" wrapText="1"/>
    </xf>
    <xf numFmtId="41" fontId="27" fillId="0" borderId="1" xfId="2" applyFont="1" applyFill="1" applyBorder="1" applyAlignment="1">
      <alignment horizontal="right" vertical="center" wrapText="1"/>
    </xf>
    <xf numFmtId="0" fontId="7" fillId="0" borderId="1" xfId="0" applyFont="1" applyBorder="1" applyAlignment="1">
      <alignment horizontal="justify" vertical="center" wrapText="1"/>
    </xf>
    <xf numFmtId="0" fontId="8" fillId="0" borderId="0" xfId="0" applyFont="1" applyAlignment="1">
      <alignment vertical="center" wrapText="1"/>
    </xf>
    <xf numFmtId="0" fontId="10" fillId="0" borderId="1" xfId="0" applyFont="1" applyBorder="1" applyAlignment="1">
      <alignment horizontal="left" vertical="center" wrapText="1"/>
    </xf>
    <xf numFmtId="41" fontId="28" fillId="0" borderId="1" xfId="2" applyFont="1" applyFill="1" applyBorder="1" applyAlignment="1">
      <alignment horizontal="right" vertical="center" wrapText="1"/>
    </xf>
    <xf numFmtId="164" fontId="28" fillId="0" borderId="1" xfId="1" applyNumberFormat="1" applyFont="1" applyFill="1" applyBorder="1" applyAlignment="1">
      <alignment horizontal="right" vertical="center" wrapText="1"/>
    </xf>
    <xf numFmtId="0" fontId="7" fillId="0" borderId="2" xfId="0" applyFont="1" applyBorder="1" applyAlignment="1">
      <alignment horizontal="center" vertical="center" wrapText="1"/>
    </xf>
    <xf numFmtId="0" fontId="7" fillId="0" borderId="2" xfId="0" applyFont="1" applyBorder="1" applyAlignment="1">
      <alignment horizontal="left" vertical="center" wrapText="1"/>
    </xf>
    <xf numFmtId="41" fontId="29" fillId="0" borderId="1" xfId="2" applyFont="1" applyFill="1" applyBorder="1" applyAlignment="1">
      <alignment horizontal="right" vertical="center" wrapText="1"/>
    </xf>
    <xf numFmtId="164" fontId="28" fillId="0" borderId="0" xfId="1" applyNumberFormat="1" applyFont="1" applyFill="1" applyAlignment="1">
      <alignment horizontal="right" vertical="center" wrapText="1"/>
    </xf>
    <xf numFmtId="0" fontId="8" fillId="0" borderId="7" xfId="0" applyFont="1" applyBorder="1" applyAlignment="1">
      <alignment horizontal="center" vertical="center" wrapText="1"/>
    </xf>
    <xf numFmtId="0" fontId="7" fillId="0" borderId="7" xfId="1" applyNumberFormat="1" applyFont="1" applyFill="1" applyBorder="1" applyAlignment="1">
      <alignment horizontal="justify" vertical="center" wrapText="1"/>
    </xf>
    <xf numFmtId="0" fontId="7" fillId="0" borderId="0" xfId="0" applyFont="1" applyAlignment="1">
      <alignment horizontal="center" vertical="center" wrapText="1"/>
    </xf>
    <xf numFmtId="0" fontId="8" fillId="0" borderId="1" xfId="1" applyNumberFormat="1" applyFont="1" applyFill="1" applyBorder="1" applyAlignment="1">
      <alignment horizontal="justify" vertical="center" wrapText="1"/>
    </xf>
    <xf numFmtId="3" fontId="28" fillId="0" borderId="1" xfId="0" applyNumberFormat="1" applyFont="1" applyBorder="1" applyAlignment="1">
      <alignment horizontal="right" vertical="center" wrapText="1"/>
    </xf>
    <xf numFmtId="0" fontId="10" fillId="0" borderId="2" xfId="0" applyFont="1" applyBorder="1" applyAlignment="1">
      <alignment horizontal="left" vertical="center" wrapText="1"/>
    </xf>
    <xf numFmtId="0" fontId="28" fillId="0" borderId="0" xfId="0" applyFont="1" applyAlignment="1">
      <alignment horizontal="right" vertical="center" wrapText="1"/>
    </xf>
    <xf numFmtId="166" fontId="9" fillId="0" borderId="1" xfId="1" applyNumberFormat="1" applyFont="1" applyFill="1" applyBorder="1" applyAlignment="1">
      <alignment horizontal="justify" vertical="center" wrapText="1"/>
    </xf>
    <xf numFmtId="0" fontId="7" fillId="0" borderId="2" xfId="0" applyFont="1" applyBorder="1" applyAlignment="1">
      <alignment vertical="center" wrapText="1"/>
    </xf>
    <xf numFmtId="0" fontId="7" fillId="0" borderId="1" xfId="0" applyFont="1" applyBorder="1" applyAlignment="1">
      <alignment horizontal="center" vertical="center" wrapText="1"/>
    </xf>
    <xf numFmtId="0" fontId="7" fillId="0" borderId="1" xfId="0" applyFont="1" applyBorder="1" applyAlignment="1">
      <alignment vertical="center" wrapText="1"/>
    </xf>
    <xf numFmtId="166" fontId="7" fillId="0" borderId="1" xfId="1" applyNumberFormat="1" applyFont="1" applyFill="1" applyBorder="1" applyAlignment="1">
      <alignment horizontal="justify" vertical="center" wrapText="1"/>
    </xf>
    <xf numFmtId="167" fontId="28" fillId="0" borderId="1" xfId="2" applyNumberFormat="1" applyFont="1" applyFill="1" applyBorder="1" applyAlignment="1">
      <alignment horizontal="right" vertical="center" wrapText="1"/>
    </xf>
    <xf numFmtId="0" fontId="9" fillId="0" borderId="1" xfId="1" quotePrefix="1" applyNumberFormat="1" applyFont="1" applyFill="1" applyBorder="1" applyAlignment="1">
      <alignment vertical="center" wrapText="1"/>
    </xf>
    <xf numFmtId="3" fontId="28" fillId="0" borderId="1" xfId="2" applyNumberFormat="1" applyFont="1" applyFill="1" applyBorder="1" applyAlignment="1">
      <alignment horizontal="right" vertical="center" wrapText="1"/>
    </xf>
    <xf numFmtId="3" fontId="28" fillId="0" borderId="0" xfId="0" applyNumberFormat="1" applyFont="1" applyAlignment="1">
      <alignment horizontal="right" vertical="center" wrapText="1"/>
    </xf>
    <xf numFmtId="0" fontId="9" fillId="0" borderId="5" xfId="1" applyNumberFormat="1" applyFont="1" applyFill="1" applyBorder="1" applyAlignment="1">
      <alignment vertical="center" wrapText="1"/>
    </xf>
    <xf numFmtId="41" fontId="28" fillId="0" borderId="1" xfId="0" applyNumberFormat="1" applyFont="1" applyBorder="1" applyAlignment="1">
      <alignment horizontal="right" vertical="center" wrapText="1"/>
    </xf>
    <xf numFmtId="0" fontId="28" fillId="0" borderId="1" xfId="0" applyFont="1" applyBorder="1" applyAlignment="1">
      <alignment horizontal="right" vertical="center" wrapText="1"/>
    </xf>
    <xf numFmtId="0" fontId="28" fillId="0" borderId="1" xfId="2" applyNumberFormat="1" applyFont="1" applyFill="1" applyBorder="1" applyAlignment="1">
      <alignment horizontal="right" vertical="center" wrapText="1"/>
    </xf>
    <xf numFmtId="0" fontId="10" fillId="0" borderId="7" xfId="0" applyFont="1" applyBorder="1" applyAlignment="1">
      <alignment horizontal="left" vertical="center" wrapText="1"/>
    </xf>
    <xf numFmtId="41" fontId="28" fillId="0" borderId="7" xfId="2" applyFont="1" applyFill="1" applyBorder="1" applyAlignment="1">
      <alignment horizontal="right" vertical="center" wrapText="1"/>
    </xf>
    <xf numFmtId="41" fontId="28" fillId="0" borderId="7" xfId="0" applyNumberFormat="1" applyFont="1" applyBorder="1" applyAlignment="1">
      <alignment horizontal="right" vertical="center" wrapText="1"/>
    </xf>
    <xf numFmtId="0" fontId="28" fillId="0" borderId="7" xfId="0" applyFont="1" applyBorder="1" applyAlignment="1">
      <alignment horizontal="right" vertical="center" wrapText="1"/>
    </xf>
    <xf numFmtId="0" fontId="28" fillId="0" borderId="7" xfId="2" applyNumberFormat="1" applyFont="1" applyFill="1" applyBorder="1" applyAlignment="1">
      <alignment horizontal="right" vertical="center" wrapText="1"/>
    </xf>
    <xf numFmtId="0" fontId="7" fillId="0" borderId="7" xfId="0" applyFont="1" applyBorder="1" applyAlignment="1">
      <alignment horizontal="center" vertical="center" wrapText="1"/>
    </xf>
    <xf numFmtId="0" fontId="10" fillId="0" borderId="0" xfId="0" applyFont="1" applyAlignment="1">
      <alignment vertical="center" wrapText="1"/>
    </xf>
    <xf numFmtId="0" fontId="30" fillId="0" borderId="1" xfId="0" applyFont="1" applyBorder="1" applyAlignment="1">
      <alignment horizontal="center" vertical="center" wrapText="1"/>
    </xf>
    <xf numFmtId="168" fontId="28" fillId="0" borderId="1" xfId="9" applyNumberFormat="1" applyFont="1" applyBorder="1" applyAlignment="1">
      <alignment horizontal="right" vertical="center" wrapText="1"/>
    </xf>
    <xf numFmtId="0" fontId="10" fillId="0" borderId="16" xfId="0" applyFont="1" applyBorder="1" applyAlignment="1">
      <alignment horizontal="left" vertical="center" wrapText="1"/>
    </xf>
    <xf numFmtId="168" fontId="28" fillId="0" borderId="5" xfId="9" applyNumberFormat="1" applyFont="1" applyBorder="1" applyAlignment="1">
      <alignment horizontal="right" vertical="center" wrapText="1"/>
    </xf>
    <xf numFmtId="41" fontId="28" fillId="0" borderId="5" xfId="2" applyFont="1" applyFill="1" applyBorder="1" applyAlignment="1">
      <alignment horizontal="right" vertical="center" wrapText="1"/>
    </xf>
    <xf numFmtId="168" fontId="29" fillId="0" borderId="1" xfId="9" applyNumberFormat="1" applyFont="1" applyBorder="1" applyAlignment="1">
      <alignment horizontal="right" vertical="center" wrapText="1"/>
    </xf>
    <xf numFmtId="0" fontId="10" fillId="0" borderId="0" xfId="0" applyFont="1" applyAlignment="1">
      <alignment horizontal="left" vertical="center" wrapText="1"/>
    </xf>
    <xf numFmtId="41" fontId="10" fillId="0" borderId="0" xfId="2" applyFont="1" applyFill="1" applyAlignment="1">
      <alignment horizontal="right" vertical="center" wrapText="1"/>
    </xf>
    <xf numFmtId="0" fontId="9" fillId="0" borderId="0" xfId="0" applyFont="1" applyAlignment="1">
      <alignment horizontal="justify" vertical="center" wrapText="1"/>
    </xf>
    <xf numFmtId="0" fontId="9" fillId="0" borderId="14" xfId="0" applyFont="1" applyBorder="1" applyAlignment="1">
      <alignment vertical="center" wrapText="1"/>
    </xf>
    <xf numFmtId="168" fontId="8" fillId="0" borderId="1" xfId="1" applyNumberFormat="1" applyFont="1" applyFill="1" applyBorder="1" applyAlignment="1">
      <alignment horizontal="center" vertical="center" wrapText="1"/>
    </xf>
    <xf numFmtId="41" fontId="8" fillId="0" borderId="1" xfId="0" applyNumberFormat="1" applyFont="1" applyBorder="1" applyAlignment="1">
      <alignment horizontal="right" vertical="center" wrapText="1"/>
    </xf>
    <xf numFmtId="0" fontId="10" fillId="0" borderId="8" xfId="0" applyFont="1" applyBorder="1" applyAlignment="1">
      <alignment horizontal="center" vertical="center" wrapText="1"/>
    </xf>
    <xf numFmtId="0" fontId="10" fillId="0" borderId="8" xfId="0" applyFont="1" applyBorder="1" applyAlignment="1">
      <alignment vertical="center" wrapText="1"/>
    </xf>
    <xf numFmtId="0" fontId="10" fillId="0" borderId="8" xfId="0" applyFont="1" applyBorder="1" applyAlignment="1">
      <alignment horizontal="justify" vertical="center" wrapText="1"/>
    </xf>
    <xf numFmtId="41" fontId="10" fillId="0" borderId="8" xfId="0" applyNumberFormat="1" applyFont="1" applyBorder="1" applyAlignment="1">
      <alignment horizontal="right" vertical="center" wrapText="1"/>
    </xf>
    <xf numFmtId="0" fontId="7" fillId="0" borderId="0" xfId="0" applyFont="1" applyAlignment="1">
      <alignment vertical="center" wrapText="1"/>
    </xf>
    <xf numFmtId="0" fontId="10" fillId="0" borderId="10" xfId="0" applyFont="1" applyBorder="1" applyAlignment="1">
      <alignment horizontal="center" vertical="center" wrapText="1"/>
    </xf>
    <xf numFmtId="0" fontId="10" fillId="0" borderId="10" xfId="0" applyFont="1" applyBorder="1" applyAlignment="1">
      <alignment vertical="center" wrapText="1"/>
    </xf>
    <xf numFmtId="0" fontId="10" fillId="0" borderId="10" xfId="0" applyFont="1" applyBorder="1" applyAlignment="1">
      <alignment horizontal="justify" vertical="center" wrapText="1"/>
    </xf>
    <xf numFmtId="41" fontId="10" fillId="0" borderId="10" xfId="0" applyNumberFormat="1" applyFont="1" applyBorder="1" applyAlignment="1">
      <alignment horizontal="right" vertical="center" wrapText="1"/>
    </xf>
    <xf numFmtId="164" fontId="8" fillId="0" borderId="1" xfId="0" applyNumberFormat="1" applyFont="1" applyBorder="1" applyAlignment="1">
      <alignment horizontal="right" vertical="center" wrapText="1"/>
    </xf>
    <xf numFmtId="0" fontId="10" fillId="0" borderId="1" xfId="0" applyFont="1" applyBorder="1" applyAlignment="1">
      <alignment horizontal="center" vertical="center" wrapText="1"/>
    </xf>
    <xf numFmtId="0" fontId="10" fillId="0" borderId="1" xfId="0" applyFont="1" applyBorder="1" applyAlignment="1">
      <alignment vertical="center" wrapText="1"/>
    </xf>
    <xf numFmtId="0" fontId="10" fillId="0" borderId="1" xfId="0" applyFont="1" applyBorder="1" applyAlignment="1">
      <alignment horizontal="justify" vertical="center" wrapText="1"/>
    </xf>
    <xf numFmtId="41" fontId="10" fillId="0" borderId="1" xfId="0" applyNumberFormat="1" applyFont="1" applyBorder="1" applyAlignment="1">
      <alignment horizontal="right" vertical="center" wrapText="1"/>
    </xf>
    <xf numFmtId="0" fontId="10" fillId="0" borderId="9" xfId="0" applyFont="1" applyBorder="1" applyAlignment="1">
      <alignment horizontal="center" vertical="center" wrapText="1"/>
    </xf>
    <xf numFmtId="0" fontId="10" fillId="0" borderId="9" xfId="0" applyFont="1" applyBorder="1" applyAlignment="1">
      <alignment vertical="center" wrapText="1"/>
    </xf>
    <xf numFmtId="0" fontId="10" fillId="0" borderId="9" xfId="0" applyFont="1" applyBorder="1" applyAlignment="1">
      <alignment horizontal="justify" vertical="center" wrapText="1"/>
    </xf>
    <xf numFmtId="41" fontId="10" fillId="0" borderId="9" xfId="0" applyNumberFormat="1" applyFont="1" applyBorder="1" applyAlignment="1">
      <alignment horizontal="right" vertical="center" wrapText="1"/>
    </xf>
    <xf numFmtId="0" fontId="10" fillId="0" borderId="8" xfId="10" applyFont="1" applyBorder="1" applyAlignment="1">
      <alignment horizontal="center" vertical="center" wrapText="1"/>
    </xf>
    <xf numFmtId="0" fontId="10" fillId="0" borderId="8" xfId="10" applyFont="1" applyBorder="1" applyAlignment="1">
      <alignment vertical="center" wrapText="1"/>
    </xf>
    <xf numFmtId="0" fontId="10" fillId="0" borderId="8" xfId="10" applyFont="1" applyBorder="1" applyAlignment="1">
      <alignment horizontal="justify" vertical="center" wrapText="1"/>
    </xf>
    <xf numFmtId="0" fontId="10" fillId="0" borderId="10" xfId="10" applyFont="1" applyBorder="1" applyAlignment="1">
      <alignment horizontal="justify" vertical="center" wrapText="1"/>
    </xf>
    <xf numFmtId="168" fontId="10" fillId="0" borderId="0" xfId="1" applyNumberFormat="1" applyFont="1" applyFill="1" applyAlignment="1">
      <alignment horizontal="right" vertical="center" wrapText="1"/>
    </xf>
    <xf numFmtId="0" fontId="7" fillId="2" borderId="1" xfId="0" applyFont="1" applyFill="1" applyBorder="1" applyAlignment="1">
      <alignment horizontal="center" vertical="center" wrapText="1"/>
    </xf>
    <xf numFmtId="41" fontId="29" fillId="2" borderId="1" xfId="2" applyFont="1" applyFill="1" applyBorder="1" applyAlignment="1">
      <alignment horizontal="right" vertical="center" wrapText="1"/>
    </xf>
    <xf numFmtId="0" fontId="7" fillId="2" borderId="0" xfId="0" applyFont="1" applyFill="1" applyAlignment="1">
      <alignment horizontal="center" vertical="center" wrapText="1"/>
    </xf>
    <xf numFmtId="0" fontId="0" fillId="0" borderId="5" xfId="0" applyBorder="1" applyAlignment="1">
      <alignment horizontal="center" wrapText="1"/>
    </xf>
    <xf numFmtId="0" fontId="0" fillId="0" borderId="7" xfId="0" applyBorder="1" applyAlignment="1">
      <alignment horizontal="center" wrapText="1"/>
    </xf>
    <xf numFmtId="0" fontId="20" fillId="0" borderId="0" xfId="0" applyFont="1" applyAlignment="1">
      <alignment horizontal="center" vertical="center" wrapText="1"/>
    </xf>
    <xf numFmtId="0" fontId="21" fillId="0" borderId="0" xfId="0" applyFont="1" applyAlignment="1">
      <alignment horizontal="center" vertical="center" wrapText="1"/>
    </xf>
    <xf numFmtId="0" fontId="21" fillId="0" borderId="14" xfId="0" applyFont="1" applyBorder="1" applyAlignment="1">
      <alignment horizontal="right" vertical="center" wrapText="1"/>
    </xf>
    <xf numFmtId="0" fontId="3" fillId="0" borderId="9" xfId="0" applyFont="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3" fillId="0" borderId="13" xfId="0" applyFont="1" applyBorder="1" applyAlignment="1">
      <alignment horizontal="left" vertical="top" wrapText="1"/>
    </xf>
    <xf numFmtId="0" fontId="0" fillId="0" borderId="13" xfId="0" applyBorder="1" applyAlignment="1">
      <alignment horizontal="left" vertical="top"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3" fontId="0" fillId="2" borderId="11" xfId="0" applyNumberFormat="1" applyFill="1" applyBorder="1" applyAlignment="1">
      <alignment horizontal="center" vertical="center" wrapText="1"/>
    </xf>
    <xf numFmtId="3" fontId="0" fillId="2" borderId="6" xfId="0" applyNumberFormat="1" applyFill="1" applyBorder="1" applyAlignment="1">
      <alignment horizontal="center" vertical="center" wrapText="1"/>
    </xf>
    <xf numFmtId="3" fontId="0" fillId="2" borderId="12" xfId="0" applyNumberFormat="1" applyFill="1" applyBorder="1" applyAlignment="1">
      <alignment horizontal="center" vertical="center" wrapText="1"/>
    </xf>
    <xf numFmtId="3" fontId="0" fillId="0" borderId="11" xfId="0" applyNumberFormat="1" applyBorder="1" applyAlignment="1">
      <alignment horizontal="center" vertical="center" wrapText="1"/>
    </xf>
    <xf numFmtId="3" fontId="0" fillId="0" borderId="6" xfId="0" applyNumberFormat="1" applyBorder="1" applyAlignment="1">
      <alignment horizontal="center" vertical="center" wrapText="1"/>
    </xf>
    <xf numFmtId="3" fontId="0" fillId="0" borderId="12" xfId="0" applyNumberFormat="1" applyBorder="1" applyAlignment="1">
      <alignment horizontal="center" vertical="center" wrapText="1"/>
    </xf>
    <xf numFmtId="3" fontId="0" fillId="0" borderId="7" xfId="0" applyNumberFormat="1" applyBorder="1" applyAlignment="1">
      <alignment horizontal="center" vertical="center" wrapText="1"/>
    </xf>
    <xf numFmtId="3" fontId="0" fillId="0" borderId="9" xfId="0" applyNumberFormat="1" applyBorder="1" applyAlignment="1">
      <alignment horizontal="right" vertical="center" wrapText="1"/>
    </xf>
    <xf numFmtId="3" fontId="0" fillId="0" borderId="10" xfId="0" applyNumberFormat="1" applyBorder="1" applyAlignment="1">
      <alignment horizontal="right" vertical="center" wrapText="1"/>
    </xf>
    <xf numFmtId="3" fontId="0" fillId="2" borderId="9" xfId="0" applyNumberFormat="1" applyFill="1" applyBorder="1" applyAlignment="1">
      <alignment horizontal="right" vertical="center" wrapText="1"/>
    </xf>
    <xf numFmtId="0" fontId="2" fillId="0" borderId="0" xfId="0" applyFont="1" applyAlignment="1">
      <alignment horizontal="center"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11" fillId="2" borderId="9" xfId="0" quotePrefix="1" applyFont="1" applyFill="1" applyBorder="1" applyAlignment="1">
      <alignment horizontal="center" vertical="center" wrapText="1"/>
    </xf>
    <xf numFmtId="0" fontId="6" fillId="2" borderId="0" xfId="3" applyFont="1" applyFill="1" applyAlignment="1">
      <alignment horizontal="left" vertical="center"/>
    </xf>
    <xf numFmtId="0" fontId="8" fillId="2" borderId="0" xfId="3" applyFont="1" applyFill="1" applyAlignment="1">
      <alignment horizontal="center" vertical="center" wrapText="1"/>
    </xf>
    <xf numFmtId="0" fontId="9" fillId="2" borderId="0" xfId="3" applyFont="1" applyFill="1" applyAlignment="1">
      <alignment horizontal="center" vertical="center" wrapText="1"/>
    </xf>
    <xf numFmtId="0" fontId="2" fillId="2" borderId="14" xfId="3" applyFont="1" applyFill="1" applyBorder="1" applyAlignment="1">
      <alignment horizontal="right" vertical="center" wrapText="1"/>
    </xf>
    <xf numFmtId="0" fontId="8" fillId="2" borderId="1" xfId="3" applyFont="1" applyFill="1" applyBorder="1" applyAlignment="1">
      <alignment horizontal="center" vertical="center" wrapText="1"/>
    </xf>
    <xf numFmtId="0" fontId="8" fillId="2" borderId="1" xfId="3" applyFont="1" applyFill="1" applyBorder="1" applyAlignment="1">
      <alignment horizontal="center" vertical="center"/>
    </xf>
    <xf numFmtId="0" fontId="1" fillId="2" borderId="1" xfId="3" applyFont="1" applyFill="1" applyBorder="1" applyAlignment="1">
      <alignment horizontal="center" vertical="center" wrapText="1"/>
    </xf>
    <xf numFmtId="0" fontId="1" fillId="2" borderId="5" xfId="3" applyFont="1" applyFill="1" applyBorder="1" applyAlignment="1">
      <alignment horizontal="center" vertical="center" wrapText="1"/>
    </xf>
    <xf numFmtId="0" fontId="1" fillId="2" borderId="7" xfId="3" applyFont="1" applyFill="1" applyBorder="1" applyAlignment="1">
      <alignment horizontal="center" vertical="center" wrapText="1"/>
    </xf>
    <xf numFmtId="0" fontId="11" fillId="2" borderId="9" xfId="0" quotePrefix="1" applyFont="1" applyFill="1" applyBorder="1" applyAlignment="1">
      <alignment horizontal="left" vertical="center" wrapText="1"/>
    </xf>
    <xf numFmtId="0" fontId="11" fillId="2" borderId="9" xfId="0" applyFont="1" applyFill="1" applyBorder="1" applyAlignment="1">
      <alignment horizontal="left" vertical="center" wrapText="1"/>
    </xf>
    <xf numFmtId="0" fontId="11" fillId="2" borderId="9" xfId="0" quotePrefix="1" applyFont="1" applyFill="1" applyBorder="1" applyAlignment="1">
      <alignment horizontal="justify" vertical="center" wrapText="1"/>
    </xf>
    <xf numFmtId="0" fontId="11" fillId="2" borderId="9" xfId="0" applyFont="1" applyFill="1" applyBorder="1" applyAlignment="1">
      <alignment horizontal="justify" vertical="center" wrapText="1"/>
    </xf>
    <xf numFmtId="0" fontId="16" fillId="2" borderId="9" xfId="0" quotePrefix="1" applyFont="1" applyFill="1" applyBorder="1" applyAlignment="1">
      <alignment horizontal="left" vertical="center" wrapText="1"/>
    </xf>
    <xf numFmtId="0" fontId="3" fillId="2" borderId="9" xfId="0" applyFont="1" applyFill="1" applyBorder="1" applyAlignment="1">
      <alignment horizontal="justify" vertical="center" wrapText="1"/>
    </xf>
    <xf numFmtId="0" fontId="8" fillId="0" borderId="0" xfId="0" applyFont="1" applyAlignment="1">
      <alignment horizontal="center" vertical="center" wrapText="1"/>
    </xf>
    <xf numFmtId="0" fontId="10" fillId="0" borderId="5" xfId="0" applyFont="1" applyBorder="1" applyAlignment="1">
      <alignment horizontal="center" vertical="center" wrapText="1"/>
    </xf>
    <xf numFmtId="0" fontId="10" fillId="0" borderId="7" xfId="0" applyFont="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center" vertical="center" wrapText="1"/>
    </xf>
    <xf numFmtId="0" fontId="7" fillId="0" borderId="13" xfId="0" applyFont="1" applyBorder="1" applyAlignment="1">
      <alignment horizontal="left" vertical="center" wrapText="1"/>
    </xf>
    <xf numFmtId="0" fontId="9" fillId="0" borderId="14" xfId="0" applyFont="1" applyBorder="1" applyAlignment="1">
      <alignment horizontal="right" vertical="center" wrapText="1"/>
    </xf>
    <xf numFmtId="0" fontId="9" fillId="0" borderId="0" xfId="0" applyFont="1" applyAlignment="1">
      <alignment horizontal="center" vertical="center" wrapText="1"/>
    </xf>
    <xf numFmtId="0" fontId="10" fillId="0" borderId="6" xfId="0" applyFont="1" applyBorder="1" applyAlignment="1">
      <alignment horizontal="center" vertical="center" wrapText="1"/>
    </xf>
    <xf numFmtId="0" fontId="23" fillId="0" borderId="0" xfId="0" applyFont="1" applyAlignment="1">
      <alignment horizontal="center" vertical="center" wrapText="1"/>
    </xf>
    <xf numFmtId="0" fontId="25" fillId="0" borderId="0" xfId="0" applyFont="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165" fontId="8" fillId="0" borderId="5" xfId="1" applyNumberFormat="1" applyFont="1" applyFill="1" applyBorder="1" applyAlignment="1">
      <alignment horizontal="center" vertical="center" wrapText="1"/>
    </xf>
    <xf numFmtId="165" fontId="8" fillId="0" borderId="6" xfId="1" applyNumberFormat="1" applyFont="1" applyFill="1" applyBorder="1" applyAlignment="1">
      <alignment horizontal="center" vertical="center" wrapText="1"/>
    </xf>
    <xf numFmtId="165" fontId="8" fillId="0" borderId="7" xfId="1" applyNumberFormat="1" applyFont="1" applyFill="1" applyBorder="1" applyAlignment="1">
      <alignment horizontal="center" vertical="center" wrapText="1"/>
    </xf>
    <xf numFmtId="41" fontId="8" fillId="0" borderId="1" xfId="2" applyFont="1" applyFill="1" applyBorder="1" applyAlignment="1">
      <alignment horizontal="center" vertical="center" wrapText="1"/>
    </xf>
    <xf numFmtId="41" fontId="8" fillId="0" borderId="2" xfId="2" applyFont="1" applyFill="1" applyBorder="1" applyAlignment="1">
      <alignment horizontal="center" vertical="center" wrapText="1"/>
    </xf>
    <xf numFmtId="41" fontId="8" fillId="0" borderId="4" xfId="2" applyFont="1" applyFill="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41" fontId="8" fillId="0" borderId="3" xfId="2" applyFont="1" applyFill="1" applyBorder="1" applyAlignment="1">
      <alignment horizontal="center" vertical="center" wrapText="1"/>
    </xf>
    <xf numFmtId="41" fontId="8" fillId="0" borderId="5" xfId="2" applyFont="1" applyFill="1" applyBorder="1" applyAlignment="1">
      <alignment horizontal="center" vertical="center" wrapText="1"/>
    </xf>
    <xf numFmtId="41" fontId="8" fillId="0" borderId="6" xfId="2" applyFont="1" applyFill="1" applyBorder="1" applyAlignment="1">
      <alignment horizontal="center" vertical="center" wrapText="1"/>
    </xf>
    <xf numFmtId="41" fontId="8" fillId="0" borderId="7" xfId="2" applyFont="1" applyFill="1" applyBorder="1" applyAlignment="1">
      <alignment horizontal="center" vertical="center" wrapText="1"/>
    </xf>
    <xf numFmtId="0" fontId="9" fillId="0" borderId="5" xfId="1" applyNumberFormat="1" applyFont="1" applyFill="1" applyBorder="1" applyAlignment="1">
      <alignment horizontal="justify" vertical="center" wrapText="1"/>
    </xf>
    <xf numFmtId="0" fontId="9" fillId="0" borderId="6" xfId="1" applyNumberFormat="1" applyFont="1" applyFill="1" applyBorder="1" applyAlignment="1">
      <alignment horizontal="justify" vertical="center" wrapText="1"/>
    </xf>
    <xf numFmtId="0" fontId="9" fillId="0" borderId="7" xfId="1" applyNumberFormat="1" applyFont="1" applyFill="1" applyBorder="1" applyAlignment="1">
      <alignment horizontal="justify" vertical="center" wrapText="1"/>
    </xf>
    <xf numFmtId="0" fontId="8" fillId="0" borderId="1" xfId="0" applyFont="1" applyBorder="1" applyAlignment="1">
      <alignment horizontal="left" vertical="center" wrapText="1"/>
    </xf>
    <xf numFmtId="0" fontId="9" fillId="0" borderId="5" xfId="1" quotePrefix="1" applyNumberFormat="1" applyFont="1" applyFill="1" applyBorder="1" applyAlignment="1">
      <alignment horizontal="justify" vertical="center" wrapText="1"/>
    </xf>
    <xf numFmtId="0" fontId="9" fillId="0" borderId="1" xfId="1" quotePrefix="1" applyNumberFormat="1" applyFont="1" applyFill="1" applyBorder="1" applyAlignment="1">
      <alignment horizontal="justify" vertical="center" wrapText="1"/>
    </xf>
    <xf numFmtId="3" fontId="9" fillId="0" borderId="5" xfId="1" quotePrefix="1" applyNumberFormat="1" applyFont="1" applyFill="1" applyBorder="1" applyAlignment="1">
      <alignment horizontal="justify" vertical="center" wrapText="1"/>
    </xf>
    <xf numFmtId="3" fontId="9" fillId="0" borderId="6" xfId="1" quotePrefix="1" applyNumberFormat="1" applyFont="1" applyFill="1" applyBorder="1" applyAlignment="1">
      <alignment horizontal="justify" vertical="center" wrapText="1"/>
    </xf>
    <xf numFmtId="3" fontId="9" fillId="0" borderId="7" xfId="1" quotePrefix="1" applyNumberFormat="1" applyFont="1" applyFill="1" applyBorder="1" applyAlignment="1">
      <alignment horizontal="justify" vertical="center" wrapText="1"/>
    </xf>
    <xf numFmtId="0" fontId="10" fillId="0" borderId="1" xfId="0" applyFont="1" applyBorder="1" applyAlignment="1">
      <alignment horizontal="center" vertical="center" wrapText="1"/>
    </xf>
    <xf numFmtId="0" fontId="9" fillId="0" borderId="5" xfId="2" applyNumberFormat="1" applyFont="1" applyFill="1" applyBorder="1" applyAlignment="1">
      <alignment horizontal="justify" vertical="center" wrapText="1"/>
    </xf>
    <xf numFmtId="0" fontId="9" fillId="0" borderId="6" xfId="2" applyNumberFormat="1" applyFont="1" applyFill="1" applyBorder="1" applyAlignment="1">
      <alignment horizontal="justify" vertical="center" wrapText="1"/>
    </xf>
    <xf numFmtId="0" fontId="9" fillId="0" borderId="7" xfId="2" applyNumberFormat="1" applyFont="1" applyFill="1" applyBorder="1" applyAlignment="1">
      <alignment horizontal="justify" vertical="center" wrapText="1"/>
    </xf>
    <xf numFmtId="0" fontId="10" fillId="0" borderId="5" xfId="8" applyFont="1" applyFill="1" applyBorder="1" applyAlignment="1" applyProtection="1">
      <alignment horizontal="center" vertical="center" wrapText="1"/>
    </xf>
    <xf numFmtId="0" fontId="10" fillId="0" borderId="6" xfId="8" applyFont="1" applyFill="1" applyBorder="1" applyAlignment="1" applyProtection="1">
      <alignment horizontal="center" vertical="center" wrapText="1"/>
    </xf>
    <xf numFmtId="0" fontId="10" fillId="0" borderId="7" xfId="8" applyFont="1" applyFill="1" applyBorder="1" applyAlignment="1" applyProtection="1">
      <alignment horizontal="center" vertical="center" wrapText="1"/>
    </xf>
    <xf numFmtId="0" fontId="25" fillId="0" borderId="14" xfId="0" applyFont="1" applyBorder="1" applyAlignment="1">
      <alignment horizontal="right" vertical="center" wrapText="1"/>
    </xf>
    <xf numFmtId="0" fontId="11" fillId="2" borderId="9" xfId="0" quotePrefix="1" applyFont="1" applyFill="1" applyBorder="1" applyAlignment="1">
      <alignment horizontal="left" wrapText="1"/>
    </xf>
    <xf numFmtId="0" fontId="9" fillId="0" borderId="1" xfId="1" quotePrefix="1" applyNumberFormat="1" applyFont="1" applyFill="1" applyBorder="1" applyAlignment="1">
      <alignment horizontal="justify" vertical="top" wrapText="1"/>
    </xf>
  </cellXfs>
  <cellStyles count="11">
    <cellStyle name="Bình thường 5" xfId="6" xr:uid="{00000000-0005-0000-0000-000000000000}"/>
    <cellStyle name="Chuẩn 2" xfId="9" xr:uid="{00000000-0005-0000-0000-000005000000}"/>
    <cellStyle name="Chuẩn 2 3" xfId="10" xr:uid="{00000000-0005-0000-0000-000006000000}"/>
    <cellStyle name="Comma" xfId="1" builtinId="3"/>
    <cellStyle name="Comma [0]" xfId="2" builtinId="6"/>
    <cellStyle name="Comma 12" xfId="7" xr:uid="{00000000-0005-0000-0000-000003000000}"/>
    <cellStyle name="Comma 2" xfId="5" xr:uid="{00000000-0005-0000-0000-000004000000}"/>
    <cellStyle name="Hyperlink" xfId="8" builtinId="8"/>
    <cellStyle name="Normal" xfId="0" builtinId="0"/>
    <cellStyle name="Normal 2" xfId="3" xr:uid="{00000000-0005-0000-0000-000009000000}"/>
    <cellStyle name="Normal 3" xfId="4"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P\Downloads\T5-Bieu%20kp%20NQ%2019.2022.NQ-HDND%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HP\Documents\Zalo%20Received%20Files\B&#7843;n%20s&#7917;a%20Bieu%20kem%20To%20trinh%20cap%20KP%20ho%20tro%20SX.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Hien_PC\Downloads\CHO%20MOI\bi&#7875;u%20nhu%20c&#7847;u%20v&#7889;n%20TH%20n&#259;m%2020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ểu Tổng hợp"/>
      <sheetName val="Biểu 2-KP xay dung XHHT"/>
      <sheetName val="Biểu chi tiết"/>
      <sheetName val="Sheet1"/>
      <sheetName val="Biểu 05 DT CT (don vi VND)"/>
      <sheetName val="Biểu QL 10"/>
      <sheetName val="DT giai đoạn 2021-2023"/>
    </sheetNames>
    <sheetDataSet>
      <sheetData sheetId="0"/>
      <sheetData sheetId="1">
        <row r="22">
          <cell r="B22" t="str">
            <v>Ủy ban nhân dân huyện Ba Bể</v>
          </cell>
        </row>
        <row r="40">
          <cell r="B40" t="str">
            <v>Ủy ban nhân dân huyện Na Rì</v>
          </cell>
        </row>
        <row r="58">
          <cell r="B58" t="str">
            <v>Ủy ban nhân dân huyện Chợ Đồn</v>
          </cell>
        </row>
        <row r="93">
          <cell r="B93" t="str">
            <v>Ủy ban nhân dân huyện Pác Nặm</v>
          </cell>
        </row>
        <row r="116">
          <cell r="B116" t="str">
            <v>Ủy ban nhân dân huyện Bạch Thông</v>
          </cell>
        </row>
        <row r="126">
          <cell r="B126" t="str">
            <v>Ủy ban nhân dân thành phố Bắc Kạn</v>
          </cell>
        </row>
        <row r="136">
          <cell r="B136" t="str">
            <v>Ủy ban nhân dân huyện Chợ Mới</v>
          </cell>
        </row>
        <row r="145">
          <cell r="B145" t="str">
            <v>Ủy ban nhân dân huyện Ngân Sơn</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TTr UBND"/>
      <sheetName val="02 TTr UBND"/>
      <sheetName val="Biểu kèm QĐ"/>
    </sheetNames>
    <sheetDataSet>
      <sheetData sheetId="0"/>
      <sheetData sheetId="1">
        <row r="14">
          <cell r="Q14">
            <v>313261000</v>
          </cell>
        </row>
        <row r="19">
          <cell r="Q19">
            <v>313261000</v>
          </cell>
        </row>
        <row r="26">
          <cell r="Q26">
            <v>320000000</v>
          </cell>
        </row>
        <row r="30">
          <cell r="Q30">
            <v>165947000</v>
          </cell>
        </row>
        <row r="34">
          <cell r="Q34">
            <v>300000000</v>
          </cell>
        </row>
        <row r="40">
          <cell r="Q40">
            <v>313261000</v>
          </cell>
        </row>
        <row r="45">
          <cell r="Q45">
            <v>348645000</v>
          </cell>
        </row>
        <row r="51">
          <cell r="Q51">
            <v>320264000</v>
          </cell>
        </row>
        <row r="57">
          <cell r="Q57">
            <v>437561000</v>
          </cell>
        </row>
        <row r="63">
          <cell r="Q63">
            <v>306630000</v>
          </cell>
        </row>
        <row r="69">
          <cell r="Q69">
            <v>213708000</v>
          </cell>
        </row>
        <row r="73">
          <cell r="Q73">
            <v>325111000</v>
          </cell>
        </row>
        <row r="78">
          <cell r="Q78">
            <v>97315000</v>
          </cell>
        </row>
        <row r="84">
          <cell r="Q84">
            <v>313261000</v>
          </cell>
        </row>
        <row r="87">
          <cell r="Q87">
            <v>300000000</v>
          </cell>
        </row>
        <row r="93">
          <cell r="Q93">
            <v>58500000</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ểu nhu cầu KP 2023"/>
    </sheetNames>
    <sheetDataSet>
      <sheetData sheetId="0" refreshError="1">
        <row r="8">
          <cell r="H8">
            <v>95658000</v>
          </cell>
          <cell r="I8">
            <v>95658000</v>
          </cell>
          <cell r="K8">
            <v>17358500</v>
          </cell>
          <cell r="L8">
            <v>17358500</v>
          </cell>
        </row>
        <row r="9">
          <cell r="H9">
            <v>5110000</v>
          </cell>
          <cell r="I9">
            <v>5110000</v>
          </cell>
        </row>
        <row r="10">
          <cell r="H10">
            <v>1676250000</v>
          </cell>
          <cell r="I10">
            <v>490875000</v>
          </cell>
          <cell r="J10">
            <v>1185375000</v>
          </cell>
          <cell r="K10">
            <v>670500000</v>
          </cell>
          <cell r="L10">
            <v>196350000</v>
          </cell>
          <cell r="M10">
            <v>474150000</v>
          </cell>
        </row>
        <row r="11">
          <cell r="H11">
            <v>25000000</v>
          </cell>
          <cell r="I11">
            <v>7500000</v>
          </cell>
          <cell r="J11">
            <v>17500000</v>
          </cell>
        </row>
        <row r="13">
          <cell r="H13">
            <v>87468200</v>
          </cell>
        </row>
        <row r="14">
          <cell r="H14">
            <v>37320000</v>
          </cell>
        </row>
        <row r="15">
          <cell r="H15">
            <v>1276200000</v>
          </cell>
          <cell r="I15">
            <v>893340000</v>
          </cell>
          <cell r="J15">
            <v>382860000</v>
          </cell>
          <cell r="L15">
            <v>297780000</v>
          </cell>
          <cell r="M15">
            <v>127620000</v>
          </cell>
        </row>
        <row r="17">
          <cell r="K17">
            <v>6630500</v>
          </cell>
        </row>
        <row r="19">
          <cell r="K19">
            <v>129550000</v>
          </cell>
          <cell r="L19">
            <v>90685000</v>
          </cell>
          <cell r="M19">
            <v>38865000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4"/>
  <sheetViews>
    <sheetView workbookViewId="0">
      <selection activeCell="D19" sqref="D19"/>
    </sheetView>
  </sheetViews>
  <sheetFormatPr defaultColWidth="8.75" defaultRowHeight="15.75"/>
  <cols>
    <col min="1" max="1" width="4.625" style="147" bestFit="1" customWidth="1"/>
    <col min="2" max="2" width="61.75" style="1" customWidth="1"/>
    <col min="3" max="3" width="27.625" style="139" customWidth="1"/>
    <col min="4" max="4" width="25.625" style="1" customWidth="1"/>
    <col min="5" max="16384" width="8.75" style="1"/>
  </cols>
  <sheetData>
    <row r="1" spans="1:4" ht="24.75" customHeight="1">
      <c r="A1" s="265" t="s">
        <v>213</v>
      </c>
      <c r="B1" s="265"/>
      <c r="C1" s="265"/>
      <c r="D1" s="265"/>
    </row>
    <row r="2" spans="1:4" ht="18.75">
      <c r="A2" s="266" t="s">
        <v>210</v>
      </c>
      <c r="B2" s="266"/>
      <c r="C2" s="266"/>
      <c r="D2" s="266"/>
    </row>
    <row r="3" spans="1:4" ht="18.75">
      <c r="A3" s="145"/>
      <c r="B3" s="136"/>
      <c r="C3" s="267" t="s">
        <v>31</v>
      </c>
      <c r="D3" s="267"/>
    </row>
    <row r="4" spans="1:4" ht="21.75" customHeight="1">
      <c r="A4" s="5" t="s">
        <v>0</v>
      </c>
      <c r="B4" s="5" t="s">
        <v>218</v>
      </c>
      <c r="C4" s="138" t="s">
        <v>214</v>
      </c>
      <c r="D4" s="5" t="s">
        <v>20</v>
      </c>
    </row>
    <row r="5" spans="1:4" ht="19.5" customHeight="1">
      <c r="A5" s="166"/>
      <c r="B5" s="166" t="s">
        <v>19</v>
      </c>
      <c r="C5" s="9">
        <f>C6+C18+C22+C31</f>
        <v>10389816000</v>
      </c>
      <c r="D5" s="166"/>
    </row>
    <row r="6" spans="1:4" ht="31.5">
      <c r="A6" s="167" t="s">
        <v>42</v>
      </c>
      <c r="B6" s="167" t="s">
        <v>215</v>
      </c>
      <c r="C6" s="12">
        <f>C7+C9</f>
        <v>5644362000</v>
      </c>
      <c r="D6" s="167"/>
    </row>
    <row r="7" spans="1:4" ht="63">
      <c r="A7" s="167">
        <v>1</v>
      </c>
      <c r="B7" s="168" t="s">
        <v>212</v>
      </c>
      <c r="C7" s="12">
        <f>'Biểu số 01'!N9</f>
        <v>2090230000</v>
      </c>
      <c r="D7" s="137" t="s">
        <v>216</v>
      </c>
    </row>
    <row r="8" spans="1:4">
      <c r="A8" s="137" t="s">
        <v>397</v>
      </c>
      <c r="B8" s="134" t="s">
        <v>400</v>
      </c>
      <c r="C8" s="135">
        <f>'Biểu số 01'!N9</f>
        <v>2090230000</v>
      </c>
      <c r="D8" s="137"/>
    </row>
    <row r="9" spans="1:4">
      <c r="A9" s="167">
        <v>2</v>
      </c>
      <c r="B9" s="168" t="s">
        <v>211</v>
      </c>
      <c r="C9" s="12">
        <f>SUM(C10:C17)</f>
        <v>3554132000</v>
      </c>
      <c r="D9" s="167"/>
    </row>
    <row r="10" spans="1:4">
      <c r="A10" s="137" t="s">
        <v>10</v>
      </c>
      <c r="B10" s="134" t="str">
        <f>'[1]Biểu 2-KP xay dung XHHT'!B22</f>
        <v>Ủy ban nhân dân huyện Ba Bể</v>
      </c>
      <c r="C10" s="135">
        <f>'Biểu số 02'!I22</f>
        <v>163410000</v>
      </c>
      <c r="D10" s="268" t="s">
        <v>398</v>
      </c>
    </row>
    <row r="11" spans="1:4">
      <c r="A11" s="137" t="s">
        <v>10</v>
      </c>
      <c r="B11" s="134" t="str">
        <f>'[1]Biểu 2-KP xay dung XHHT'!B40</f>
        <v>Ủy ban nhân dân huyện Na Rì</v>
      </c>
      <c r="C11" s="135">
        <f>'Biểu số 02'!I40</f>
        <v>142420000</v>
      </c>
      <c r="D11" s="268"/>
    </row>
    <row r="12" spans="1:4">
      <c r="A12" s="137" t="s">
        <v>10</v>
      </c>
      <c r="B12" s="134" t="str">
        <f>'[1]Biểu 2-KP xay dung XHHT'!B58</f>
        <v>Ủy ban nhân dân huyện Chợ Đồn</v>
      </c>
      <c r="C12" s="135">
        <f>'Biểu số 02'!I58</f>
        <v>861578000</v>
      </c>
      <c r="D12" s="268"/>
    </row>
    <row r="13" spans="1:4">
      <c r="A13" s="137" t="s">
        <v>10</v>
      </c>
      <c r="B13" s="134" t="str">
        <f>'[1]Biểu 2-KP xay dung XHHT'!B93</f>
        <v>Ủy ban nhân dân huyện Pác Nặm</v>
      </c>
      <c r="C13" s="135">
        <f>'Biểu số 02'!I93</f>
        <v>1648178500</v>
      </c>
      <c r="D13" s="268"/>
    </row>
    <row r="14" spans="1:4">
      <c r="A14" s="137" t="s">
        <v>10</v>
      </c>
      <c r="B14" s="134" t="str">
        <f>'[1]Biểu 2-KP xay dung XHHT'!B116</f>
        <v>Ủy ban nhân dân huyện Bạch Thông</v>
      </c>
      <c r="C14" s="135">
        <f>'Biểu số 02'!I116</f>
        <v>116612500</v>
      </c>
      <c r="D14" s="268"/>
    </row>
    <row r="15" spans="1:4">
      <c r="A15" s="137" t="s">
        <v>10</v>
      </c>
      <c r="B15" s="134" t="str">
        <f>'[1]Biểu 2-KP xay dung XHHT'!B126</f>
        <v>Ủy ban nhân dân thành phố Bắc Kạn</v>
      </c>
      <c r="C15" s="135">
        <f>'Biểu số 02'!I126</f>
        <v>173700000</v>
      </c>
      <c r="D15" s="268"/>
    </row>
    <row r="16" spans="1:4">
      <c r="A16" s="137" t="s">
        <v>10</v>
      </c>
      <c r="B16" s="134" t="str">
        <f>'[1]Biểu 2-KP xay dung XHHT'!B136</f>
        <v>Ủy ban nhân dân huyện Chợ Mới</v>
      </c>
      <c r="C16" s="135">
        <f>'Biểu số 02'!I136</f>
        <v>138087500</v>
      </c>
      <c r="D16" s="268"/>
    </row>
    <row r="17" spans="1:4">
      <c r="A17" s="137" t="s">
        <v>10</v>
      </c>
      <c r="B17" s="134" t="str">
        <f>'[1]Biểu 2-KP xay dung XHHT'!B145</f>
        <v>Ủy ban nhân dân huyện Ngân Sơn</v>
      </c>
      <c r="C17" s="135">
        <f>'Biểu số 02'!I145</f>
        <v>310145500</v>
      </c>
      <c r="D17" s="268"/>
    </row>
    <row r="18" spans="1:4" s="2" customFormat="1">
      <c r="A18" s="10" t="s">
        <v>68</v>
      </c>
      <c r="B18" s="11" t="s">
        <v>217</v>
      </c>
      <c r="C18" s="169">
        <f>C19</f>
        <v>298729000</v>
      </c>
      <c r="D18" s="11"/>
    </row>
    <row r="19" spans="1:4" s="2" customFormat="1" ht="47.25">
      <c r="A19" s="10"/>
      <c r="B19" s="11" t="s">
        <v>219</v>
      </c>
      <c r="C19" s="169">
        <f>C20+C21</f>
        <v>298729000</v>
      </c>
      <c r="D19" s="11"/>
    </row>
    <row r="20" spans="1:4">
      <c r="A20" s="16" t="s">
        <v>10</v>
      </c>
      <c r="B20" s="17" t="s">
        <v>195</v>
      </c>
      <c r="C20" s="170">
        <v>80777000</v>
      </c>
      <c r="D20" s="17"/>
    </row>
    <row r="21" spans="1:4">
      <c r="A21" s="22" t="s">
        <v>10</v>
      </c>
      <c r="B21" s="23" t="s">
        <v>94</v>
      </c>
      <c r="C21" s="171">
        <v>217952000</v>
      </c>
      <c r="D21" s="23"/>
    </row>
    <row r="22" spans="1:4" s="2" customFormat="1">
      <c r="A22" s="146" t="s">
        <v>93</v>
      </c>
      <c r="B22" s="140" t="s">
        <v>391</v>
      </c>
      <c r="C22" s="141">
        <f>C23</f>
        <v>3340546000</v>
      </c>
      <c r="D22" s="140"/>
    </row>
    <row r="23" spans="1:4" s="2" customFormat="1" ht="31.5">
      <c r="A23" s="146"/>
      <c r="B23" s="140" t="s">
        <v>392</v>
      </c>
      <c r="C23" s="141">
        <f>SUM(C24:C30)</f>
        <v>3340546000</v>
      </c>
      <c r="D23" s="140"/>
    </row>
    <row r="24" spans="1:4">
      <c r="A24" s="144" t="s">
        <v>10</v>
      </c>
      <c r="B24" s="142" t="s">
        <v>179</v>
      </c>
      <c r="C24" s="143">
        <v>6290000</v>
      </c>
      <c r="D24" s="269" t="s">
        <v>399</v>
      </c>
    </row>
    <row r="25" spans="1:4">
      <c r="A25" s="144" t="s">
        <v>10</v>
      </c>
      <c r="B25" s="142" t="s">
        <v>69</v>
      </c>
      <c r="C25" s="143">
        <f>'Biểu số 03'!D14</f>
        <v>300000000</v>
      </c>
      <c r="D25" s="270"/>
    </row>
    <row r="26" spans="1:4">
      <c r="A26" s="144" t="s">
        <v>10</v>
      </c>
      <c r="B26" s="142" t="s">
        <v>172</v>
      </c>
      <c r="C26" s="143">
        <f>'Biểu số 03'!D16</f>
        <v>661906000</v>
      </c>
      <c r="D26" s="270"/>
    </row>
    <row r="27" spans="1:4">
      <c r="A27" s="144" t="s">
        <v>10</v>
      </c>
      <c r="B27" s="142" t="s">
        <v>108</v>
      </c>
      <c r="C27" s="143">
        <f>'Biểu số 03'!D19</f>
        <v>1064455000</v>
      </c>
      <c r="D27" s="270"/>
    </row>
    <row r="28" spans="1:4">
      <c r="A28" s="144" t="s">
        <v>10</v>
      </c>
      <c r="B28" s="142" t="s">
        <v>184</v>
      </c>
      <c r="C28" s="143">
        <f>'Biểu số 03'!D23</f>
        <v>636134000</v>
      </c>
      <c r="D28" s="270"/>
    </row>
    <row r="29" spans="1:4">
      <c r="A29" s="144" t="s">
        <v>10</v>
      </c>
      <c r="B29" s="142" t="s">
        <v>94</v>
      </c>
      <c r="C29" s="143">
        <f>'Biểu số 03'!D27</f>
        <v>613261000</v>
      </c>
      <c r="D29" s="270"/>
    </row>
    <row r="30" spans="1:4">
      <c r="A30" s="144" t="s">
        <v>10</v>
      </c>
      <c r="B30" s="142" t="s">
        <v>195</v>
      </c>
      <c r="C30" s="143">
        <f>'Biểu số 03'!D30</f>
        <v>58500000</v>
      </c>
      <c r="D30" s="271"/>
    </row>
    <row r="31" spans="1:4" s="2" customFormat="1">
      <c r="A31" s="146" t="s">
        <v>107</v>
      </c>
      <c r="B31" s="140" t="s">
        <v>395</v>
      </c>
      <c r="C31" s="141">
        <f>C32</f>
        <v>1106179000</v>
      </c>
      <c r="D31" s="140"/>
    </row>
    <row r="32" spans="1:4" s="2" customFormat="1" ht="31.5">
      <c r="A32" s="146"/>
      <c r="B32" s="140" t="s">
        <v>392</v>
      </c>
      <c r="C32" s="141">
        <f>C33+C34</f>
        <v>1106179000</v>
      </c>
      <c r="D32" s="140"/>
    </row>
    <row r="33" spans="1:4">
      <c r="A33" s="144" t="s">
        <v>10</v>
      </c>
      <c r="B33" s="142" t="s">
        <v>393</v>
      </c>
      <c r="C33" s="143">
        <f>'Biểu số 03'!D7</f>
        <v>626522000</v>
      </c>
      <c r="D33" s="263" t="s">
        <v>399</v>
      </c>
    </row>
    <row r="34" spans="1:4">
      <c r="A34" s="144" t="s">
        <v>10</v>
      </c>
      <c r="B34" s="142" t="s">
        <v>179</v>
      </c>
      <c r="C34" s="143">
        <v>479657000</v>
      </c>
      <c r="D34" s="264"/>
    </row>
  </sheetData>
  <mergeCells count="6">
    <mergeCell ref="D33:D34"/>
    <mergeCell ref="A1:D1"/>
    <mergeCell ref="A2:D2"/>
    <mergeCell ref="C3:D3"/>
    <mergeCell ref="D10:D17"/>
    <mergeCell ref="D24:D30"/>
  </mergeCells>
  <pageMargins left="0.49" right="0.2" top="0.3" bottom="0.48" header="0.18" footer="0.21"/>
  <pageSetup firstPageNumber="14" orientation="landscape" useFirstPageNumber="1"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5"/>
  <sheetViews>
    <sheetView zoomScale="85" zoomScaleNormal="85" workbookViewId="0">
      <selection activeCell="T8" sqref="T8"/>
    </sheetView>
  </sheetViews>
  <sheetFormatPr defaultColWidth="8.75" defaultRowHeight="15.75"/>
  <cols>
    <col min="1" max="1" width="9.125" style="1" customWidth="1"/>
    <col min="2" max="2" width="27.125" style="1" customWidth="1"/>
    <col min="3" max="3" width="11.125" style="1" customWidth="1"/>
    <col min="4" max="4" width="11.25" style="1" customWidth="1"/>
    <col min="5" max="5" width="17" style="1" customWidth="1"/>
    <col min="6" max="6" width="19.125" style="1" customWidth="1"/>
    <col min="7" max="7" width="7" style="1" customWidth="1"/>
    <col min="8" max="8" width="6.75" style="1" customWidth="1"/>
    <col min="9" max="9" width="10.25" style="1" customWidth="1"/>
    <col min="10" max="10" width="19.625" style="1" customWidth="1"/>
    <col min="11" max="11" width="17.125" style="1" customWidth="1"/>
    <col min="12" max="12" width="27" style="1" customWidth="1"/>
    <col min="13" max="13" width="12.25" style="1" customWidth="1"/>
    <col min="14" max="14" width="13" style="1" customWidth="1"/>
    <col min="15" max="15" width="20.5" style="1" customWidth="1"/>
    <col min="16" max="16384" width="8.75" style="1"/>
  </cols>
  <sheetData>
    <row r="1" spans="1:15">
      <c r="O1" s="33" t="s">
        <v>33</v>
      </c>
    </row>
    <row r="2" spans="1:15" ht="43.15" customHeight="1">
      <c r="A2" s="288" t="s">
        <v>32</v>
      </c>
      <c r="B2" s="288"/>
      <c r="C2" s="288"/>
      <c r="D2" s="288"/>
      <c r="E2" s="288"/>
      <c r="F2" s="288"/>
      <c r="G2" s="288"/>
      <c r="H2" s="288"/>
      <c r="I2" s="288"/>
      <c r="J2" s="288"/>
      <c r="K2" s="288"/>
      <c r="L2" s="288"/>
      <c r="M2" s="288"/>
      <c r="N2" s="288"/>
      <c r="O2" s="288"/>
    </row>
    <row r="3" spans="1:15" ht="18" customHeight="1">
      <c r="A3" s="288" t="s">
        <v>401</v>
      </c>
      <c r="B3" s="288"/>
      <c r="C3" s="288"/>
      <c r="D3" s="288"/>
      <c r="E3" s="288"/>
      <c r="F3" s="288"/>
      <c r="G3" s="288"/>
      <c r="H3" s="288"/>
      <c r="I3" s="288"/>
      <c r="J3" s="288"/>
      <c r="K3" s="288"/>
      <c r="L3" s="288"/>
      <c r="M3" s="288"/>
      <c r="N3" s="288"/>
      <c r="O3" s="288"/>
    </row>
    <row r="4" spans="1:15">
      <c r="A4" s="287" t="s">
        <v>209</v>
      </c>
      <c r="B4" s="287"/>
      <c r="C4" s="287"/>
      <c r="D4" s="287"/>
      <c r="E4" s="287"/>
      <c r="F4" s="287"/>
      <c r="G4" s="287"/>
      <c r="H4" s="287"/>
      <c r="I4" s="287"/>
      <c r="J4" s="287"/>
      <c r="K4" s="287"/>
      <c r="L4" s="287"/>
      <c r="M4" s="287"/>
      <c r="N4" s="287"/>
      <c r="O4" s="287"/>
    </row>
    <row r="5" spans="1:15">
      <c r="O5" s="32" t="s">
        <v>31</v>
      </c>
    </row>
    <row r="6" spans="1:15" s="3" customFormat="1" ht="27" customHeight="1">
      <c r="A6" s="289" t="s">
        <v>0</v>
      </c>
      <c r="B6" s="289" t="s">
        <v>1</v>
      </c>
      <c r="C6" s="289" t="s">
        <v>22</v>
      </c>
      <c r="D6" s="289"/>
      <c r="E6" s="289"/>
      <c r="F6" s="289"/>
      <c r="G6" s="274" t="s">
        <v>21</v>
      </c>
      <c r="H6" s="275"/>
      <c r="I6" s="275"/>
      <c r="J6" s="275"/>
      <c r="K6" s="275"/>
      <c r="L6" s="275"/>
      <c r="M6" s="275"/>
      <c r="N6" s="276"/>
      <c r="O6" s="289" t="s">
        <v>20</v>
      </c>
    </row>
    <row r="7" spans="1:15" s="6" customFormat="1" ht="112.5" customHeight="1">
      <c r="A7" s="289"/>
      <c r="B7" s="289"/>
      <c r="C7" s="5" t="s">
        <v>2</v>
      </c>
      <c r="D7" s="5" t="s">
        <v>23</v>
      </c>
      <c r="E7" s="5" t="s">
        <v>3</v>
      </c>
      <c r="F7" s="5" t="s">
        <v>4</v>
      </c>
      <c r="G7" s="5" t="s">
        <v>5</v>
      </c>
      <c r="H7" s="5" t="s">
        <v>23</v>
      </c>
      <c r="I7" s="5" t="s">
        <v>3</v>
      </c>
      <c r="J7" s="5" t="s">
        <v>403</v>
      </c>
      <c r="K7" s="5" t="s">
        <v>24</v>
      </c>
      <c r="L7" s="5" t="s">
        <v>404</v>
      </c>
      <c r="M7" s="5" t="s">
        <v>402</v>
      </c>
      <c r="N7" s="5" t="s">
        <v>405</v>
      </c>
      <c r="O7" s="289"/>
    </row>
    <row r="8" spans="1:15" s="6" customFormat="1" ht="47.25">
      <c r="A8" s="31">
        <v>1</v>
      </c>
      <c r="B8" s="31">
        <v>2</v>
      </c>
      <c r="C8" s="31">
        <v>3</v>
      </c>
      <c r="D8" s="31">
        <v>4</v>
      </c>
      <c r="E8" s="31">
        <v>5</v>
      </c>
      <c r="F8" s="31" t="s">
        <v>27</v>
      </c>
      <c r="G8" s="31">
        <v>7</v>
      </c>
      <c r="H8" s="31">
        <v>8</v>
      </c>
      <c r="I8" s="31">
        <v>9</v>
      </c>
      <c r="J8" s="31" t="s">
        <v>28</v>
      </c>
      <c r="K8" s="31" t="s">
        <v>29</v>
      </c>
      <c r="L8" s="31" t="s">
        <v>35</v>
      </c>
      <c r="M8" s="31">
        <v>13</v>
      </c>
      <c r="N8" s="31" t="s">
        <v>30</v>
      </c>
      <c r="O8" s="31">
        <v>15</v>
      </c>
    </row>
    <row r="9" spans="1:15" s="2" customFormat="1" ht="27" customHeight="1">
      <c r="A9" s="7"/>
      <c r="B9" s="8" t="s">
        <v>19</v>
      </c>
      <c r="C9" s="9"/>
      <c r="D9" s="9"/>
      <c r="E9" s="9"/>
      <c r="F9" s="9">
        <f>F10+F19+F23+F27+F31</f>
        <v>6368500000</v>
      </c>
      <c r="G9" s="9"/>
      <c r="H9" s="9"/>
      <c r="I9" s="9"/>
      <c r="J9" s="9">
        <f t="shared" ref="J9" si="0">J10+J19+J23+J27+J31</f>
        <v>3078870000</v>
      </c>
      <c r="K9" s="9">
        <f>K10+K19+K23+K27+K31</f>
        <v>3307800000</v>
      </c>
      <c r="L9" s="9">
        <f t="shared" ref="L9" si="1">L10+L19+L23+L27+L31</f>
        <v>3078870000</v>
      </c>
      <c r="M9" s="9">
        <v>988640000</v>
      </c>
      <c r="N9" s="9">
        <f>L9-M9</f>
        <v>2090230000</v>
      </c>
      <c r="O9" s="8"/>
    </row>
    <row r="10" spans="1:15" s="2" customFormat="1" ht="31.5">
      <c r="A10" s="10">
        <v>1</v>
      </c>
      <c r="B10" s="11" t="s">
        <v>13</v>
      </c>
      <c r="C10" s="12"/>
      <c r="D10" s="12"/>
      <c r="E10" s="12"/>
      <c r="F10" s="12">
        <f>F11+F15</f>
        <v>4691870000</v>
      </c>
      <c r="G10" s="12"/>
      <c r="H10" s="12"/>
      <c r="I10" s="12"/>
      <c r="J10" s="12">
        <f t="shared" ref="J10" si="2">J11+J15</f>
        <v>2736010000</v>
      </c>
      <c r="K10" s="12">
        <f>K11+K15</f>
        <v>2878680000</v>
      </c>
      <c r="L10" s="12">
        <f>L11+L15</f>
        <v>2736010000</v>
      </c>
      <c r="M10" s="12"/>
      <c r="N10" s="12"/>
      <c r="O10" s="11"/>
    </row>
    <row r="11" spans="1:15" s="4" customFormat="1">
      <c r="A11" s="13" t="s">
        <v>14</v>
      </c>
      <c r="B11" s="14" t="s">
        <v>6</v>
      </c>
      <c r="C11" s="15"/>
      <c r="D11" s="15"/>
      <c r="E11" s="15"/>
      <c r="F11" s="15">
        <f>SUM(F12:F14)</f>
        <v>497420000</v>
      </c>
      <c r="G11" s="15"/>
      <c r="H11" s="15"/>
      <c r="I11" s="15"/>
      <c r="J11" s="15">
        <f t="shared" ref="J11" si="3">SUM(J12:J14)</f>
        <v>247110000</v>
      </c>
      <c r="K11" s="15">
        <f>K12</f>
        <v>339720000</v>
      </c>
      <c r="L11" s="15">
        <f>J11</f>
        <v>247110000</v>
      </c>
      <c r="M11" s="15"/>
      <c r="N11" s="15"/>
      <c r="O11" s="14"/>
    </row>
    <row r="12" spans="1:15">
      <c r="A12" s="16" t="s">
        <v>10</v>
      </c>
      <c r="B12" s="17" t="s">
        <v>7</v>
      </c>
      <c r="C12" s="18">
        <v>38</v>
      </c>
      <c r="D12" s="18"/>
      <c r="E12" s="19">
        <v>10700000</v>
      </c>
      <c r="F12" s="19">
        <f>C12*E12</f>
        <v>406600000</v>
      </c>
      <c r="G12" s="18">
        <v>19</v>
      </c>
      <c r="H12" s="18"/>
      <c r="I12" s="19">
        <v>10700000</v>
      </c>
      <c r="J12" s="19">
        <f>G12*I12</f>
        <v>203300000</v>
      </c>
      <c r="K12" s="284">
        <f>19*12*1490000</f>
        <v>339720000</v>
      </c>
      <c r="L12" s="280"/>
      <c r="M12" s="27"/>
      <c r="N12" s="27"/>
      <c r="O12" s="17"/>
    </row>
    <row r="13" spans="1:15">
      <c r="A13" s="16" t="s">
        <v>10</v>
      </c>
      <c r="B13" s="17" t="s">
        <v>8</v>
      </c>
      <c r="C13" s="18">
        <v>38</v>
      </c>
      <c r="D13" s="18">
        <v>73</v>
      </c>
      <c r="E13" s="19">
        <v>30000</v>
      </c>
      <c r="F13" s="19">
        <f>C13*D13*E13</f>
        <v>83220000</v>
      </c>
      <c r="G13" s="18">
        <v>19</v>
      </c>
      <c r="H13" s="18">
        <v>73</v>
      </c>
      <c r="I13" s="19">
        <v>30000</v>
      </c>
      <c r="J13" s="19">
        <f>G13*H13*I13</f>
        <v>41610000</v>
      </c>
      <c r="K13" s="284"/>
      <c r="L13" s="281"/>
      <c r="M13" s="28"/>
      <c r="N13" s="28"/>
      <c r="O13" s="17"/>
    </row>
    <row r="14" spans="1:15" ht="47.25">
      <c r="A14" s="16" t="s">
        <v>10</v>
      </c>
      <c r="B14" s="26" t="s">
        <v>9</v>
      </c>
      <c r="C14" s="18">
        <v>38</v>
      </c>
      <c r="D14" s="18"/>
      <c r="E14" s="19">
        <v>200000</v>
      </c>
      <c r="F14" s="19">
        <f t="shared" ref="F14:F18" si="4">C14*E14</f>
        <v>7600000</v>
      </c>
      <c r="G14" s="18">
        <f>19-8</f>
        <v>11</v>
      </c>
      <c r="H14" s="18"/>
      <c r="I14" s="19">
        <v>200000</v>
      </c>
      <c r="J14" s="19">
        <f t="shared" ref="J14" si="5">G14*I14</f>
        <v>2200000</v>
      </c>
      <c r="K14" s="284"/>
      <c r="L14" s="282"/>
      <c r="M14" s="29"/>
      <c r="N14" s="29"/>
      <c r="O14" s="17" t="s">
        <v>25</v>
      </c>
    </row>
    <row r="15" spans="1:15" s="4" customFormat="1">
      <c r="A15" s="13" t="s">
        <v>15</v>
      </c>
      <c r="B15" s="14" t="s">
        <v>11</v>
      </c>
      <c r="C15" s="20"/>
      <c r="D15" s="20"/>
      <c r="E15" s="15"/>
      <c r="F15" s="15">
        <f>SUM(F16:F18)</f>
        <v>4194450000</v>
      </c>
      <c r="G15" s="20"/>
      <c r="H15" s="20"/>
      <c r="I15" s="15"/>
      <c r="J15" s="15">
        <f t="shared" ref="J15" si="6">SUM(J16:J18)</f>
        <v>2488900000</v>
      </c>
      <c r="K15" s="15">
        <f>K16</f>
        <v>2538960000</v>
      </c>
      <c r="L15" s="15">
        <f>J15</f>
        <v>2488900000</v>
      </c>
      <c r="M15" s="15"/>
      <c r="N15" s="15"/>
      <c r="O15" s="14"/>
    </row>
    <row r="16" spans="1:15">
      <c r="A16" s="16" t="s">
        <v>10</v>
      </c>
      <c r="B16" s="17" t="s">
        <v>7</v>
      </c>
      <c r="C16" s="18">
        <f>205+34</f>
        <v>239</v>
      </c>
      <c r="D16" s="18"/>
      <c r="E16" s="19">
        <v>13900000</v>
      </c>
      <c r="F16" s="19">
        <f t="shared" si="4"/>
        <v>3322100000</v>
      </c>
      <c r="G16" s="18">
        <f>108+34</f>
        <v>142</v>
      </c>
      <c r="H16" s="18"/>
      <c r="I16" s="19">
        <v>13900000</v>
      </c>
      <c r="J16" s="19">
        <f>G16*I16</f>
        <v>1973800000</v>
      </c>
      <c r="K16" s="284">
        <f>142*12*1490000</f>
        <v>2538960000</v>
      </c>
      <c r="L16" s="280"/>
      <c r="M16" s="27"/>
      <c r="N16" s="27"/>
      <c r="O16" s="17"/>
    </row>
    <row r="17" spans="1:15">
      <c r="A17" s="16" t="s">
        <v>10</v>
      </c>
      <c r="B17" s="17" t="s">
        <v>8</v>
      </c>
      <c r="C17" s="18">
        <f>205+34</f>
        <v>239</v>
      </c>
      <c r="D17" s="18">
        <v>115</v>
      </c>
      <c r="E17" s="19">
        <v>30000</v>
      </c>
      <c r="F17" s="19">
        <f>C17*D17*E17</f>
        <v>824550000</v>
      </c>
      <c r="G17" s="18">
        <f>108+34</f>
        <v>142</v>
      </c>
      <c r="H17" s="18">
        <v>115</v>
      </c>
      <c r="I17" s="19">
        <v>30000</v>
      </c>
      <c r="J17" s="19">
        <f>G17*H17*I17</f>
        <v>489900000</v>
      </c>
      <c r="K17" s="284"/>
      <c r="L17" s="281"/>
      <c r="M17" s="28"/>
      <c r="N17" s="28"/>
      <c r="O17" s="17"/>
    </row>
    <row r="18" spans="1:15" ht="47.25">
      <c r="A18" s="16" t="s">
        <v>10</v>
      </c>
      <c r="B18" s="17" t="s">
        <v>9</v>
      </c>
      <c r="C18" s="18">
        <f>205+34</f>
        <v>239</v>
      </c>
      <c r="D18" s="18"/>
      <c r="E18" s="19">
        <v>200000</v>
      </c>
      <c r="F18" s="19">
        <f t="shared" si="4"/>
        <v>47800000</v>
      </c>
      <c r="G18" s="18">
        <f>108+34-13-3</f>
        <v>126</v>
      </c>
      <c r="H18" s="18"/>
      <c r="I18" s="19">
        <v>200000</v>
      </c>
      <c r="J18" s="19">
        <f t="shared" ref="J18" si="7">G18*I18</f>
        <v>25200000</v>
      </c>
      <c r="K18" s="284"/>
      <c r="L18" s="282"/>
      <c r="M18" s="29"/>
      <c r="N18" s="29"/>
      <c r="O18" s="17" t="s">
        <v>34</v>
      </c>
    </row>
    <row r="19" spans="1:15" s="2" customFormat="1" ht="31.5">
      <c r="A19" s="10">
        <v>2</v>
      </c>
      <c r="B19" s="11" t="s">
        <v>12</v>
      </c>
      <c r="C19" s="21"/>
      <c r="D19" s="21"/>
      <c r="E19" s="12"/>
      <c r="F19" s="12">
        <f>SUM(F20:F22)</f>
        <v>617760000</v>
      </c>
      <c r="G19" s="21"/>
      <c r="H19" s="21"/>
      <c r="I19" s="12"/>
      <c r="J19" s="12">
        <f t="shared" ref="J19" si="8">SUM(J20:J22)</f>
        <v>188560000</v>
      </c>
      <c r="K19" s="12">
        <f>K20</f>
        <v>196680000</v>
      </c>
      <c r="L19" s="12">
        <f>J19</f>
        <v>188560000</v>
      </c>
      <c r="M19" s="12"/>
      <c r="N19" s="12"/>
      <c r="O19" s="11"/>
    </row>
    <row r="20" spans="1:15">
      <c r="A20" s="16" t="s">
        <v>10</v>
      </c>
      <c r="B20" s="17" t="s">
        <v>7</v>
      </c>
      <c r="C20" s="18">
        <v>36</v>
      </c>
      <c r="D20" s="18"/>
      <c r="E20" s="19">
        <v>15400000</v>
      </c>
      <c r="F20" s="19">
        <f>C20*E20</f>
        <v>554400000</v>
      </c>
      <c r="G20" s="18">
        <v>11</v>
      </c>
      <c r="H20" s="18"/>
      <c r="I20" s="19">
        <v>15400000</v>
      </c>
      <c r="J20" s="19">
        <f>G20*I20</f>
        <v>169400000</v>
      </c>
      <c r="K20" s="284">
        <f>11*12*1490000</f>
        <v>196680000</v>
      </c>
      <c r="L20" s="280"/>
      <c r="M20" s="27"/>
      <c r="N20" s="27"/>
      <c r="O20" s="17"/>
    </row>
    <row r="21" spans="1:15">
      <c r="A21" s="16" t="s">
        <v>10</v>
      </c>
      <c r="B21" s="17" t="s">
        <v>8</v>
      </c>
      <c r="C21" s="18">
        <v>36</v>
      </c>
      <c r="D21" s="18">
        <v>52</v>
      </c>
      <c r="E21" s="19">
        <v>30000</v>
      </c>
      <c r="F21" s="19">
        <f>C21*D21*E21</f>
        <v>56160000</v>
      </c>
      <c r="G21" s="18">
        <v>11</v>
      </c>
      <c r="H21" s="18">
        <v>52</v>
      </c>
      <c r="I21" s="19">
        <v>30000</v>
      </c>
      <c r="J21" s="19">
        <f>G21*H21*I21</f>
        <v>17160000</v>
      </c>
      <c r="K21" s="284"/>
      <c r="L21" s="281"/>
      <c r="M21" s="28"/>
      <c r="N21" s="28"/>
      <c r="O21" s="17"/>
    </row>
    <row r="22" spans="1:15" ht="47.25">
      <c r="A22" s="16" t="s">
        <v>10</v>
      </c>
      <c r="B22" s="26" t="s">
        <v>9</v>
      </c>
      <c r="C22" s="18">
        <v>36</v>
      </c>
      <c r="D22" s="18"/>
      <c r="E22" s="19">
        <v>200000</v>
      </c>
      <c r="F22" s="19">
        <f t="shared" ref="F22:F34" si="9">C22*E22</f>
        <v>7200000</v>
      </c>
      <c r="G22" s="18">
        <f>11-1</f>
        <v>10</v>
      </c>
      <c r="H22" s="18"/>
      <c r="I22" s="19">
        <v>200000</v>
      </c>
      <c r="J22" s="19">
        <f t="shared" ref="J22" si="10">G22*I22</f>
        <v>2000000</v>
      </c>
      <c r="K22" s="284"/>
      <c r="L22" s="282"/>
      <c r="M22" s="29"/>
      <c r="N22" s="29"/>
      <c r="O22" s="17" t="s">
        <v>26</v>
      </c>
    </row>
    <row r="23" spans="1:15" s="38" customFormat="1" ht="47.25">
      <c r="A23" s="34">
        <v>3</v>
      </c>
      <c r="B23" s="35" t="s">
        <v>16</v>
      </c>
      <c r="C23" s="36"/>
      <c r="D23" s="36"/>
      <c r="E23" s="37"/>
      <c r="F23" s="37">
        <f>SUM(F24:F26)</f>
        <v>333000000</v>
      </c>
      <c r="G23" s="36"/>
      <c r="H23" s="36"/>
      <c r="I23" s="37"/>
      <c r="J23" s="37">
        <f t="shared" ref="J23" si="11">SUM(J24:J26)</f>
        <v>33300000</v>
      </c>
      <c r="K23" s="37">
        <f>K24</f>
        <v>53640000</v>
      </c>
      <c r="L23" s="37">
        <f>J23</f>
        <v>33300000</v>
      </c>
      <c r="M23" s="37"/>
      <c r="N23" s="37"/>
      <c r="O23" s="35"/>
    </row>
    <row r="24" spans="1:15" s="44" customFormat="1">
      <c r="A24" s="39" t="s">
        <v>10</v>
      </c>
      <c r="B24" s="40" t="s">
        <v>7</v>
      </c>
      <c r="C24" s="41">
        <v>30</v>
      </c>
      <c r="D24" s="41"/>
      <c r="E24" s="42">
        <v>9400000</v>
      </c>
      <c r="F24" s="42">
        <f t="shared" si="9"/>
        <v>282000000</v>
      </c>
      <c r="G24" s="41">
        <v>3</v>
      </c>
      <c r="H24" s="41"/>
      <c r="I24" s="42">
        <v>9400000</v>
      </c>
      <c r="J24" s="42">
        <f>G24*I24</f>
        <v>28200000</v>
      </c>
      <c r="K24" s="286">
        <f>3*12*1490000</f>
        <v>53640000</v>
      </c>
      <c r="L24" s="277"/>
      <c r="M24" s="43"/>
      <c r="N24" s="43"/>
      <c r="O24" s="40"/>
    </row>
    <row r="25" spans="1:15" s="44" customFormat="1">
      <c r="A25" s="39" t="s">
        <v>10</v>
      </c>
      <c r="B25" s="40" t="s">
        <v>8</v>
      </c>
      <c r="C25" s="41">
        <v>30</v>
      </c>
      <c r="D25" s="41">
        <v>50</v>
      </c>
      <c r="E25" s="42">
        <v>30000</v>
      </c>
      <c r="F25" s="42">
        <f>C25*D25*E25</f>
        <v>45000000</v>
      </c>
      <c r="G25" s="41">
        <v>3</v>
      </c>
      <c r="H25" s="41">
        <v>50</v>
      </c>
      <c r="I25" s="42">
        <v>30000</v>
      </c>
      <c r="J25" s="42">
        <f>G25*H25*I25</f>
        <v>4500000</v>
      </c>
      <c r="K25" s="286"/>
      <c r="L25" s="278"/>
      <c r="M25" s="45"/>
      <c r="N25" s="45"/>
      <c r="O25" s="40"/>
    </row>
    <row r="26" spans="1:15" s="44" customFormat="1">
      <c r="A26" s="39" t="s">
        <v>10</v>
      </c>
      <c r="B26" s="40" t="s">
        <v>9</v>
      </c>
      <c r="C26" s="41">
        <v>30</v>
      </c>
      <c r="D26" s="41"/>
      <c r="E26" s="42">
        <v>200000</v>
      </c>
      <c r="F26" s="42">
        <f t="shared" si="9"/>
        <v>6000000</v>
      </c>
      <c r="G26" s="41">
        <v>3</v>
      </c>
      <c r="H26" s="41"/>
      <c r="I26" s="42">
        <v>200000</v>
      </c>
      <c r="J26" s="42">
        <f t="shared" ref="J26" si="12">G26*I26</f>
        <v>600000</v>
      </c>
      <c r="K26" s="286"/>
      <c r="L26" s="279"/>
      <c r="M26" s="46"/>
      <c r="N26" s="46"/>
      <c r="O26" s="40"/>
    </row>
    <row r="27" spans="1:15" s="2" customFormat="1" ht="31.5">
      <c r="A27" s="10">
        <v>4</v>
      </c>
      <c r="B27" s="11" t="s">
        <v>17</v>
      </c>
      <c r="C27" s="21"/>
      <c r="D27" s="21"/>
      <c r="E27" s="12"/>
      <c r="F27" s="12">
        <f>SUM(F28:F30)</f>
        <v>127560000</v>
      </c>
      <c r="G27" s="21"/>
      <c r="H27" s="21"/>
      <c r="I27" s="12"/>
      <c r="J27" s="12">
        <f t="shared" ref="J27" si="13">SUM(J28:J30)</f>
        <v>31890000</v>
      </c>
      <c r="K27" s="12">
        <f>K28</f>
        <v>53640000</v>
      </c>
      <c r="L27" s="12">
        <f>J27</f>
        <v>31890000</v>
      </c>
      <c r="M27" s="12"/>
      <c r="N27" s="12"/>
      <c r="O27" s="11"/>
    </row>
    <row r="28" spans="1:15">
      <c r="A28" s="16" t="s">
        <v>10</v>
      </c>
      <c r="B28" s="17" t="s">
        <v>7</v>
      </c>
      <c r="C28" s="18">
        <v>12</v>
      </c>
      <c r="D28" s="18"/>
      <c r="E28" s="19">
        <v>8900000</v>
      </c>
      <c r="F28" s="19">
        <f t="shared" si="9"/>
        <v>106800000</v>
      </c>
      <c r="G28" s="18">
        <v>3</v>
      </c>
      <c r="H28" s="18"/>
      <c r="I28" s="19">
        <v>8900000</v>
      </c>
      <c r="J28" s="19">
        <f>G28*I28</f>
        <v>26700000</v>
      </c>
      <c r="K28" s="284">
        <f>3*12*1490000</f>
        <v>53640000</v>
      </c>
      <c r="L28" s="280"/>
      <c r="M28" s="27"/>
      <c r="N28" s="27"/>
      <c r="O28" s="17"/>
    </row>
    <row r="29" spans="1:15">
      <c r="A29" s="16" t="s">
        <v>10</v>
      </c>
      <c r="B29" s="17" t="s">
        <v>8</v>
      </c>
      <c r="C29" s="18">
        <v>12</v>
      </c>
      <c r="D29" s="18">
        <v>51</v>
      </c>
      <c r="E29" s="19">
        <v>30000</v>
      </c>
      <c r="F29" s="19">
        <f>C29*D29*E29</f>
        <v>18360000</v>
      </c>
      <c r="G29" s="18">
        <v>3</v>
      </c>
      <c r="H29" s="18">
        <v>51</v>
      </c>
      <c r="I29" s="19">
        <v>30000</v>
      </c>
      <c r="J29" s="19">
        <f>G29*H29*I29</f>
        <v>4590000</v>
      </c>
      <c r="K29" s="284"/>
      <c r="L29" s="281"/>
      <c r="M29" s="28"/>
      <c r="N29" s="28"/>
      <c r="O29" s="17"/>
    </row>
    <row r="30" spans="1:15">
      <c r="A30" s="16" t="s">
        <v>10</v>
      </c>
      <c r="B30" s="17" t="s">
        <v>9</v>
      </c>
      <c r="C30" s="18">
        <v>12</v>
      </c>
      <c r="D30" s="18"/>
      <c r="E30" s="19">
        <v>200000</v>
      </c>
      <c r="F30" s="19">
        <f t="shared" si="9"/>
        <v>2400000</v>
      </c>
      <c r="G30" s="18">
        <v>3</v>
      </c>
      <c r="H30" s="18"/>
      <c r="I30" s="19">
        <v>200000</v>
      </c>
      <c r="J30" s="19">
        <f t="shared" ref="J30" si="14">G30*I30</f>
        <v>600000</v>
      </c>
      <c r="K30" s="284"/>
      <c r="L30" s="282"/>
      <c r="M30" s="29"/>
      <c r="N30" s="29"/>
      <c r="O30" s="17"/>
    </row>
    <row r="31" spans="1:15" s="2" customFormat="1" ht="31.5">
      <c r="A31" s="10">
        <v>5</v>
      </c>
      <c r="B31" s="11" t="s">
        <v>18</v>
      </c>
      <c r="C31" s="21"/>
      <c r="D31" s="21"/>
      <c r="E31" s="12"/>
      <c r="F31" s="12">
        <f>SUM(F32:F34)</f>
        <v>598310000</v>
      </c>
      <c r="G31" s="21"/>
      <c r="H31" s="21"/>
      <c r="I31" s="12"/>
      <c r="J31" s="12">
        <f t="shared" ref="J31:K31" si="15">SUM(J32:J34)</f>
        <v>89110000</v>
      </c>
      <c r="K31" s="12">
        <f t="shared" si="15"/>
        <v>125160000</v>
      </c>
      <c r="L31" s="12">
        <v>89110000</v>
      </c>
      <c r="M31" s="12"/>
      <c r="N31" s="12"/>
      <c r="O31" s="11"/>
    </row>
    <row r="32" spans="1:15">
      <c r="A32" s="16" t="s">
        <v>10</v>
      </c>
      <c r="B32" s="17" t="s">
        <v>7</v>
      </c>
      <c r="C32" s="18">
        <v>47</v>
      </c>
      <c r="D32" s="18"/>
      <c r="E32" s="19">
        <v>11000000</v>
      </c>
      <c r="F32" s="19">
        <f t="shared" si="9"/>
        <v>517000000</v>
      </c>
      <c r="G32" s="18">
        <v>7</v>
      </c>
      <c r="H32" s="18"/>
      <c r="I32" s="19">
        <v>11000000</v>
      </c>
      <c r="J32" s="19">
        <f>G32*I32</f>
        <v>77000000</v>
      </c>
      <c r="K32" s="284">
        <f>7*12*1490000</f>
        <v>125160000</v>
      </c>
      <c r="L32" s="280"/>
      <c r="M32" s="27"/>
      <c r="N32" s="27"/>
      <c r="O32" s="17"/>
    </row>
    <row r="33" spans="1:15">
      <c r="A33" s="16" t="s">
        <v>10</v>
      </c>
      <c r="B33" s="17" t="s">
        <v>8</v>
      </c>
      <c r="C33" s="18">
        <v>47</v>
      </c>
      <c r="D33" s="18">
        <v>51</v>
      </c>
      <c r="E33" s="19">
        <v>30000</v>
      </c>
      <c r="F33" s="19">
        <f>C33*D33*E33</f>
        <v>71910000</v>
      </c>
      <c r="G33" s="18">
        <v>7</v>
      </c>
      <c r="H33" s="18">
        <v>51</v>
      </c>
      <c r="I33" s="19">
        <v>30000</v>
      </c>
      <c r="J33" s="19">
        <f>G33*H33*I33</f>
        <v>10710000</v>
      </c>
      <c r="K33" s="284"/>
      <c r="L33" s="281"/>
      <c r="M33" s="28"/>
      <c r="N33" s="28"/>
      <c r="O33" s="17"/>
    </row>
    <row r="34" spans="1:15">
      <c r="A34" s="22" t="s">
        <v>10</v>
      </c>
      <c r="B34" s="23" t="s">
        <v>9</v>
      </c>
      <c r="C34" s="24">
        <v>47</v>
      </c>
      <c r="D34" s="24"/>
      <c r="E34" s="25">
        <v>200000</v>
      </c>
      <c r="F34" s="25">
        <f t="shared" si="9"/>
        <v>9400000</v>
      </c>
      <c r="G34" s="24">
        <v>7</v>
      </c>
      <c r="H34" s="24"/>
      <c r="I34" s="25">
        <v>200000</v>
      </c>
      <c r="J34" s="25">
        <f t="shared" ref="J34" si="16">G34*I34</f>
        <v>1400000</v>
      </c>
      <c r="K34" s="285"/>
      <c r="L34" s="283"/>
      <c r="M34" s="30"/>
      <c r="N34" s="30"/>
      <c r="O34" s="23"/>
    </row>
    <row r="35" spans="1:15" ht="203.45" customHeight="1">
      <c r="A35" s="272" t="s">
        <v>220</v>
      </c>
      <c r="B35" s="273"/>
      <c r="C35" s="273"/>
      <c r="D35" s="273"/>
      <c r="E35" s="273"/>
      <c r="F35" s="273"/>
      <c r="G35" s="273"/>
      <c r="H35" s="273"/>
      <c r="I35" s="273"/>
      <c r="J35" s="273"/>
      <c r="K35" s="273"/>
      <c r="L35" s="273"/>
      <c r="M35" s="273"/>
      <c r="N35" s="273"/>
      <c r="O35" s="273"/>
    </row>
  </sheetData>
  <mergeCells count="21">
    <mergeCell ref="A4:O4"/>
    <mergeCell ref="A2:O2"/>
    <mergeCell ref="L12:L14"/>
    <mergeCell ref="L16:L18"/>
    <mergeCell ref="L20:L22"/>
    <mergeCell ref="K20:K22"/>
    <mergeCell ref="K16:K18"/>
    <mergeCell ref="K12:K14"/>
    <mergeCell ref="O6:O7"/>
    <mergeCell ref="C6:F6"/>
    <mergeCell ref="B6:B7"/>
    <mergeCell ref="A6:A7"/>
    <mergeCell ref="A3:O3"/>
    <mergeCell ref="A35:O35"/>
    <mergeCell ref="G6:N6"/>
    <mergeCell ref="L24:L26"/>
    <mergeCell ref="L28:L30"/>
    <mergeCell ref="L32:L34"/>
    <mergeCell ref="K32:K34"/>
    <mergeCell ref="K28:K30"/>
    <mergeCell ref="K24:K26"/>
  </mergeCells>
  <pageMargins left="0.72" right="0.19" top="0.4" bottom="0.33" header="0.27" footer="0.2"/>
  <pageSetup paperSize="9" scale="55" firstPageNumber="16" orientation="landscape" useFirstPageNumber="1"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54"/>
  <sheetViews>
    <sheetView zoomScale="85" zoomScaleNormal="85" workbookViewId="0">
      <pane xSplit="1" ySplit="6" topLeftCell="B157" activePane="bottomRight" state="frozen"/>
      <selection pane="topRight" activeCell="B1" sqref="B1"/>
      <selection pane="bottomLeft" activeCell="A7" sqref="A7"/>
      <selection pane="bottomRight" activeCell="K150" sqref="K150"/>
    </sheetView>
  </sheetViews>
  <sheetFormatPr defaultRowHeight="15.75"/>
  <cols>
    <col min="1" max="1" width="5" customWidth="1"/>
    <col min="2" max="2" width="35.125" customWidth="1"/>
    <col min="3" max="3" width="9.625" customWidth="1"/>
    <col min="4" max="4" width="9.75" customWidth="1"/>
    <col min="5" max="5" width="12.125" customWidth="1"/>
    <col min="6" max="6" width="13.625" customWidth="1"/>
    <col min="7" max="7" width="8.75" bestFit="1" customWidth="1"/>
    <col min="8" max="8" width="10.125" bestFit="1" customWidth="1"/>
    <col min="9" max="9" width="13.625" bestFit="1" customWidth="1"/>
    <col min="10" max="10" width="15.375" customWidth="1"/>
    <col min="11" max="11" width="63.25" customWidth="1"/>
    <col min="14" max="14" width="26.125" customWidth="1"/>
  </cols>
  <sheetData>
    <row r="1" spans="1:14">
      <c r="A1" s="291"/>
      <c r="B1" s="291"/>
      <c r="C1" s="47"/>
      <c r="D1" s="48"/>
      <c r="E1" s="49"/>
      <c r="F1" s="49"/>
      <c r="G1" s="49"/>
      <c r="H1" s="49"/>
      <c r="I1" s="49"/>
      <c r="J1" s="49"/>
      <c r="K1" s="50" t="s">
        <v>36</v>
      </c>
    </row>
    <row r="2" spans="1:14" ht="39" customHeight="1">
      <c r="A2" s="292" t="s">
        <v>396</v>
      </c>
      <c r="B2" s="292"/>
      <c r="C2" s="292"/>
      <c r="D2" s="292"/>
      <c r="E2" s="292"/>
      <c r="F2" s="292"/>
      <c r="G2" s="292"/>
      <c r="H2" s="292"/>
      <c r="I2" s="292"/>
      <c r="J2" s="292"/>
      <c r="K2" s="292"/>
    </row>
    <row r="3" spans="1:14">
      <c r="A3" s="293" t="str">
        <f>'Biểu số 01'!A4:O4</f>
        <v>(Kèm theo Báo cáo Thuyết minh của Ủy ban nhân dân tỉnh Bắc Kạn)</v>
      </c>
      <c r="B3" s="293"/>
      <c r="C3" s="293"/>
      <c r="D3" s="293"/>
      <c r="E3" s="293"/>
      <c r="F3" s="293"/>
      <c r="G3" s="293"/>
      <c r="H3" s="293"/>
      <c r="I3" s="293"/>
      <c r="J3" s="293"/>
      <c r="K3" s="293"/>
    </row>
    <row r="4" spans="1:14">
      <c r="A4" s="51"/>
      <c r="B4" s="52"/>
      <c r="C4" s="53"/>
      <c r="D4" s="53"/>
      <c r="E4" s="52"/>
      <c r="F4" s="294" t="s">
        <v>208</v>
      </c>
      <c r="G4" s="294"/>
      <c r="H4" s="294"/>
      <c r="I4" s="294"/>
      <c r="J4" s="294"/>
      <c r="K4" s="294"/>
    </row>
    <row r="5" spans="1:14" ht="24.75" customHeight="1">
      <c r="A5" s="295" t="s">
        <v>0</v>
      </c>
      <c r="B5" s="296" t="s">
        <v>37</v>
      </c>
      <c r="C5" s="295" t="s">
        <v>38</v>
      </c>
      <c r="D5" s="297" t="s">
        <v>22</v>
      </c>
      <c r="E5" s="297"/>
      <c r="F5" s="297"/>
      <c r="G5" s="297" t="s">
        <v>39</v>
      </c>
      <c r="H5" s="297"/>
      <c r="I5" s="297"/>
      <c r="J5" s="298" t="s">
        <v>40</v>
      </c>
      <c r="K5" s="295" t="s">
        <v>20</v>
      </c>
    </row>
    <row r="6" spans="1:14" ht="30.75" customHeight="1">
      <c r="A6" s="295"/>
      <c r="B6" s="296"/>
      <c r="C6" s="295"/>
      <c r="D6" s="54" t="s">
        <v>5</v>
      </c>
      <c r="E6" s="55" t="s">
        <v>41</v>
      </c>
      <c r="F6" s="54" t="s">
        <v>4</v>
      </c>
      <c r="G6" s="54" t="s">
        <v>5</v>
      </c>
      <c r="H6" s="55" t="s">
        <v>41</v>
      </c>
      <c r="I6" s="54" t="s">
        <v>4</v>
      </c>
      <c r="J6" s="299"/>
      <c r="K6" s="295"/>
    </row>
    <row r="7" spans="1:14" ht="25.5" customHeight="1">
      <c r="A7" s="57"/>
      <c r="B7" s="56" t="s">
        <v>19</v>
      </c>
      <c r="C7" s="57"/>
      <c r="D7" s="58"/>
      <c r="E7" s="58"/>
      <c r="F7" s="58">
        <f>SUM(F8,F22,F40,F58,F93,F145,F116,F126,F136)</f>
        <v>3823916882.0320001</v>
      </c>
      <c r="G7" s="148"/>
      <c r="H7" s="58"/>
      <c r="I7" s="58">
        <f>SUM(I8,I22,I40,I58,I93,I145,I116,I126,I136)</f>
        <v>3554132000</v>
      </c>
      <c r="J7" s="149">
        <f>I7-F7</f>
        <v>-269784882.03200006</v>
      </c>
      <c r="K7" s="57"/>
    </row>
    <row r="8" spans="1:14" ht="102.75" customHeight="1">
      <c r="A8" s="150" t="s">
        <v>42</v>
      </c>
      <c r="B8" s="151" t="s">
        <v>43</v>
      </c>
      <c r="C8" s="152"/>
      <c r="D8" s="153"/>
      <c r="E8" s="153"/>
      <c r="F8" s="153">
        <f>F9+F15+F19</f>
        <v>40090000</v>
      </c>
      <c r="G8" s="153"/>
      <c r="H8" s="153"/>
      <c r="I8" s="153"/>
      <c r="J8" s="153">
        <f>I8-F8</f>
        <v>-40090000</v>
      </c>
      <c r="K8" s="154" t="s">
        <v>406</v>
      </c>
      <c r="N8" s="59"/>
    </row>
    <row r="9" spans="1:14" ht="53.25" customHeight="1">
      <c r="A9" s="60">
        <v>1</v>
      </c>
      <c r="B9" s="61" t="s">
        <v>44</v>
      </c>
      <c r="C9" s="62"/>
      <c r="D9" s="63"/>
      <c r="E9" s="63"/>
      <c r="F9" s="63">
        <f>SUM(F10:F14)</f>
        <v>21750000</v>
      </c>
      <c r="G9" s="64"/>
      <c r="H9" s="64"/>
      <c r="I9" s="63"/>
      <c r="J9" s="64">
        <f>I9-F9</f>
        <v>-21750000</v>
      </c>
      <c r="K9" s="300" t="s">
        <v>45</v>
      </c>
    </row>
    <row r="10" spans="1:14" ht="31.5" customHeight="1">
      <c r="A10" s="65" t="s">
        <v>46</v>
      </c>
      <c r="B10" s="66" t="s">
        <v>47</v>
      </c>
      <c r="C10" s="67" t="s">
        <v>48</v>
      </c>
      <c r="D10" s="68">
        <v>4</v>
      </c>
      <c r="E10" s="69">
        <v>800000</v>
      </c>
      <c r="F10" s="69">
        <f>D10*E10</f>
        <v>3200000</v>
      </c>
      <c r="G10" s="68"/>
      <c r="H10" s="69"/>
      <c r="I10" s="69"/>
      <c r="J10" s="69">
        <f>I10-F10</f>
        <v>-3200000</v>
      </c>
      <c r="K10" s="300"/>
    </row>
    <row r="11" spans="1:14" ht="20.25" customHeight="1">
      <c r="A11" s="65" t="s">
        <v>46</v>
      </c>
      <c r="B11" s="66" t="s">
        <v>49</v>
      </c>
      <c r="C11" s="67" t="s">
        <v>50</v>
      </c>
      <c r="D11" s="68">
        <v>2</v>
      </c>
      <c r="E11" s="69">
        <v>75000</v>
      </c>
      <c r="F11" s="69">
        <f t="shared" ref="F11:F14" si="0">D11*E11</f>
        <v>150000</v>
      </c>
      <c r="G11" s="68"/>
      <c r="H11" s="69"/>
      <c r="I11" s="69"/>
      <c r="J11" s="69">
        <f t="shared" ref="J11:J57" si="1">I11-F11</f>
        <v>-150000</v>
      </c>
      <c r="K11" s="300"/>
    </row>
    <row r="12" spans="1:14" ht="47.25">
      <c r="A12" s="70" t="s">
        <v>46</v>
      </c>
      <c r="B12" s="66" t="s">
        <v>51</v>
      </c>
      <c r="C12" s="67" t="s">
        <v>52</v>
      </c>
      <c r="D12" s="68">
        <v>2</v>
      </c>
      <c r="E12" s="69">
        <v>2000000</v>
      </c>
      <c r="F12" s="69">
        <f t="shared" si="0"/>
        <v>4000000</v>
      </c>
      <c r="G12" s="68"/>
      <c r="H12" s="69"/>
      <c r="I12" s="69"/>
      <c r="J12" s="69">
        <f t="shared" si="1"/>
        <v>-4000000</v>
      </c>
      <c r="K12" s="300"/>
    </row>
    <row r="13" spans="1:14" ht="21" customHeight="1">
      <c r="A13" s="70" t="s">
        <v>46</v>
      </c>
      <c r="B13" s="66" t="s">
        <v>53</v>
      </c>
      <c r="C13" s="67" t="s">
        <v>54</v>
      </c>
      <c r="D13" s="68">
        <v>180</v>
      </c>
      <c r="E13" s="69">
        <v>40000</v>
      </c>
      <c r="F13" s="69">
        <f t="shared" si="0"/>
        <v>7200000</v>
      </c>
      <c r="G13" s="68"/>
      <c r="H13" s="69"/>
      <c r="I13" s="69"/>
      <c r="J13" s="69">
        <f t="shared" si="1"/>
        <v>-7200000</v>
      </c>
      <c r="K13" s="300"/>
    </row>
    <row r="14" spans="1:14" ht="31.5">
      <c r="A14" s="65" t="s">
        <v>46</v>
      </c>
      <c r="B14" s="71" t="s">
        <v>55</v>
      </c>
      <c r="C14" s="67" t="s">
        <v>56</v>
      </c>
      <c r="D14" s="68">
        <v>360</v>
      </c>
      <c r="E14" s="72">
        <v>20000</v>
      </c>
      <c r="F14" s="69">
        <f t="shared" si="0"/>
        <v>7200000</v>
      </c>
      <c r="G14" s="68"/>
      <c r="H14" s="72"/>
      <c r="I14" s="69"/>
      <c r="J14" s="69">
        <f t="shared" si="1"/>
        <v>-7200000</v>
      </c>
      <c r="K14" s="300"/>
    </row>
    <row r="15" spans="1:14" ht="31.5">
      <c r="A15" s="60">
        <v>2</v>
      </c>
      <c r="B15" s="61" t="s">
        <v>57</v>
      </c>
      <c r="C15" s="62"/>
      <c r="D15" s="63"/>
      <c r="E15" s="63"/>
      <c r="F15" s="73">
        <f>SUM(F16:F18)</f>
        <v>14700000</v>
      </c>
      <c r="G15" s="63"/>
      <c r="H15" s="63"/>
      <c r="I15" s="73"/>
      <c r="J15" s="69">
        <f t="shared" si="1"/>
        <v>-14700000</v>
      </c>
      <c r="K15" s="74"/>
    </row>
    <row r="16" spans="1:14" ht="31.5">
      <c r="A16" s="75" t="s">
        <v>46</v>
      </c>
      <c r="B16" s="66" t="s">
        <v>58</v>
      </c>
      <c r="C16" s="67" t="s">
        <v>59</v>
      </c>
      <c r="D16" s="68">
        <f>7*6</f>
        <v>42</v>
      </c>
      <c r="E16" s="76">
        <v>150000</v>
      </c>
      <c r="F16" s="77">
        <f>D16*E16</f>
        <v>6300000</v>
      </c>
      <c r="G16" s="68"/>
      <c r="H16" s="76"/>
      <c r="I16" s="77"/>
      <c r="J16" s="69">
        <f t="shared" si="1"/>
        <v>-6300000</v>
      </c>
      <c r="K16" s="74"/>
    </row>
    <row r="17" spans="1:11" ht="31.5">
      <c r="A17" s="75" t="s">
        <v>46</v>
      </c>
      <c r="B17" s="66" t="s">
        <v>60</v>
      </c>
      <c r="C17" s="67" t="s">
        <v>61</v>
      </c>
      <c r="D17" s="68">
        <f>7*4</f>
        <v>28</v>
      </c>
      <c r="E17" s="76">
        <v>150000</v>
      </c>
      <c r="F17" s="77">
        <f t="shared" ref="F17:F18" si="2">D17*E17</f>
        <v>4200000</v>
      </c>
      <c r="G17" s="68"/>
      <c r="H17" s="76"/>
      <c r="I17" s="77"/>
      <c r="J17" s="69">
        <f t="shared" si="1"/>
        <v>-4200000</v>
      </c>
      <c r="K17" s="74"/>
    </row>
    <row r="18" spans="1:11" ht="31.5">
      <c r="A18" s="78" t="s">
        <v>46</v>
      </c>
      <c r="B18" s="66" t="s">
        <v>62</v>
      </c>
      <c r="C18" s="67" t="s">
        <v>63</v>
      </c>
      <c r="D18" s="68">
        <f>300*7</f>
        <v>2100</v>
      </c>
      <c r="E18" s="76">
        <v>2000</v>
      </c>
      <c r="F18" s="77">
        <f t="shared" si="2"/>
        <v>4200000</v>
      </c>
      <c r="G18" s="68"/>
      <c r="H18" s="76"/>
      <c r="I18" s="77"/>
      <c r="J18" s="69">
        <f t="shared" si="1"/>
        <v>-4200000</v>
      </c>
      <c r="K18" s="74"/>
    </row>
    <row r="19" spans="1:11" ht="31.5">
      <c r="A19" s="60">
        <v>3</v>
      </c>
      <c r="B19" s="61" t="s">
        <v>64</v>
      </c>
      <c r="C19" s="62"/>
      <c r="D19" s="63"/>
      <c r="E19" s="63"/>
      <c r="F19" s="79">
        <f>F20+F21</f>
        <v>3640000</v>
      </c>
      <c r="G19" s="63"/>
      <c r="H19" s="63"/>
      <c r="I19" s="79">
        <f>I20+I21</f>
        <v>0</v>
      </c>
      <c r="J19" s="69">
        <f t="shared" si="1"/>
        <v>-3640000</v>
      </c>
      <c r="K19" s="80"/>
    </row>
    <row r="20" spans="1:11" ht="47.25">
      <c r="A20" s="81" t="s">
        <v>46</v>
      </c>
      <c r="B20" s="66" t="s">
        <v>65</v>
      </c>
      <c r="C20" s="82" t="s">
        <v>59</v>
      </c>
      <c r="D20" s="76">
        <v>7</v>
      </c>
      <c r="E20" s="76">
        <v>20000</v>
      </c>
      <c r="F20" s="83">
        <v>140000</v>
      </c>
      <c r="G20" s="76"/>
      <c r="H20" s="76"/>
      <c r="I20" s="83"/>
      <c r="J20" s="69">
        <f t="shared" si="1"/>
        <v>-140000</v>
      </c>
      <c r="K20" s="80"/>
    </row>
    <row r="21" spans="1:11" ht="47.25">
      <c r="A21" s="81" t="s">
        <v>46</v>
      </c>
      <c r="B21" s="66" t="s">
        <v>66</v>
      </c>
      <c r="C21" s="82" t="s">
        <v>67</v>
      </c>
      <c r="D21" s="76">
        <v>1</v>
      </c>
      <c r="E21" s="76">
        <v>3500000</v>
      </c>
      <c r="F21" s="83">
        <v>3500000</v>
      </c>
      <c r="G21" s="76"/>
      <c r="H21" s="76"/>
      <c r="I21" s="83"/>
      <c r="J21" s="69">
        <f t="shared" si="1"/>
        <v>-3500000</v>
      </c>
      <c r="K21" s="80"/>
    </row>
    <row r="22" spans="1:11" ht="19.5" customHeight="1">
      <c r="A22" s="150" t="s">
        <v>68</v>
      </c>
      <c r="B22" s="151" t="s">
        <v>69</v>
      </c>
      <c r="C22" s="152"/>
      <c r="D22" s="153"/>
      <c r="E22" s="153"/>
      <c r="F22" s="153">
        <f>F23+F30+F36</f>
        <v>169720000</v>
      </c>
      <c r="G22" s="153"/>
      <c r="H22" s="153"/>
      <c r="I22" s="153">
        <f>I23+I30+I36</f>
        <v>163410000</v>
      </c>
      <c r="J22" s="89">
        <f t="shared" si="1"/>
        <v>-6310000</v>
      </c>
      <c r="K22" s="155"/>
    </row>
    <row r="23" spans="1:11" ht="39.75" customHeight="1">
      <c r="A23" s="60">
        <v>1</v>
      </c>
      <c r="B23" s="61" t="s">
        <v>70</v>
      </c>
      <c r="C23" s="62"/>
      <c r="D23" s="63"/>
      <c r="E23" s="63"/>
      <c r="F23" s="63">
        <f>SUM(F24:F29)</f>
        <v>7830000</v>
      </c>
      <c r="G23" s="63"/>
      <c r="H23" s="63"/>
      <c r="I23" s="63">
        <f>SUM(I24:I29)</f>
        <v>4900000</v>
      </c>
      <c r="J23" s="89">
        <f t="shared" si="1"/>
        <v>-2930000</v>
      </c>
      <c r="K23" s="74" t="s">
        <v>71</v>
      </c>
    </row>
    <row r="24" spans="1:11" ht="19.5" customHeight="1">
      <c r="A24" s="81" t="s">
        <v>46</v>
      </c>
      <c r="B24" s="84" t="s">
        <v>72</v>
      </c>
      <c r="C24" s="82" t="s">
        <v>73</v>
      </c>
      <c r="D24" s="76">
        <v>1</v>
      </c>
      <c r="E24" s="85">
        <v>750000</v>
      </c>
      <c r="F24" s="85">
        <f t="shared" ref="F24:F29" si="3">SUM(E24*D24)</f>
        <v>750000</v>
      </c>
      <c r="G24" s="76"/>
      <c r="H24" s="85"/>
      <c r="I24" s="85">
        <f t="shared" ref="I24:I29" si="4">SUM(H24*G24)</f>
        <v>0</v>
      </c>
      <c r="J24" s="69">
        <f t="shared" si="1"/>
        <v>-750000</v>
      </c>
      <c r="K24" s="301" t="s">
        <v>409</v>
      </c>
    </row>
    <row r="25" spans="1:11" ht="25.5" customHeight="1">
      <c r="A25" s="81" t="s">
        <v>46</v>
      </c>
      <c r="B25" s="84" t="s">
        <v>75</v>
      </c>
      <c r="C25" s="86" t="s">
        <v>73</v>
      </c>
      <c r="D25" s="76">
        <v>1</v>
      </c>
      <c r="E25" s="85">
        <v>130000</v>
      </c>
      <c r="F25" s="85">
        <f t="shared" si="3"/>
        <v>130000</v>
      </c>
      <c r="G25" s="76"/>
      <c r="H25" s="85"/>
      <c r="I25" s="85">
        <f t="shared" si="4"/>
        <v>0</v>
      </c>
      <c r="J25" s="69">
        <f t="shared" si="1"/>
        <v>-130000</v>
      </c>
      <c r="K25" s="301"/>
    </row>
    <row r="26" spans="1:11" ht="31.5">
      <c r="A26" s="81" t="s">
        <v>46</v>
      </c>
      <c r="B26" s="84" t="s">
        <v>76</v>
      </c>
      <c r="C26" s="82" t="s">
        <v>77</v>
      </c>
      <c r="D26" s="76">
        <v>25</v>
      </c>
      <c r="E26" s="85">
        <v>40000</v>
      </c>
      <c r="F26" s="85">
        <f t="shared" si="3"/>
        <v>1000000</v>
      </c>
      <c r="G26" s="76">
        <v>25</v>
      </c>
      <c r="H26" s="85">
        <v>40000</v>
      </c>
      <c r="I26" s="85">
        <f t="shared" si="4"/>
        <v>1000000</v>
      </c>
      <c r="J26" s="69">
        <f t="shared" si="1"/>
        <v>0</v>
      </c>
      <c r="K26" s="74" t="s">
        <v>407</v>
      </c>
    </row>
    <row r="27" spans="1:11" s="87" customFormat="1" ht="31.5">
      <c r="A27" s="81" t="s">
        <v>46</v>
      </c>
      <c r="B27" s="84" t="s">
        <v>78</v>
      </c>
      <c r="C27" s="82" t="s">
        <v>48</v>
      </c>
      <c r="D27" s="76">
        <v>1</v>
      </c>
      <c r="E27" s="76">
        <v>1200000</v>
      </c>
      <c r="F27" s="85">
        <f t="shared" si="3"/>
        <v>1200000</v>
      </c>
      <c r="G27" s="76">
        <v>2</v>
      </c>
      <c r="H27" s="76">
        <v>200000</v>
      </c>
      <c r="I27" s="85">
        <f t="shared" si="4"/>
        <v>400000</v>
      </c>
      <c r="J27" s="69">
        <f t="shared" si="1"/>
        <v>-800000</v>
      </c>
      <c r="K27" s="74" t="s">
        <v>410</v>
      </c>
    </row>
    <row r="28" spans="1:11">
      <c r="A28" s="81" t="s">
        <v>46</v>
      </c>
      <c r="B28" s="84" t="s">
        <v>79</v>
      </c>
      <c r="C28" s="82" t="s">
        <v>52</v>
      </c>
      <c r="D28" s="76">
        <v>1</v>
      </c>
      <c r="E28" s="76">
        <v>2500000</v>
      </c>
      <c r="F28" s="85">
        <f t="shared" si="3"/>
        <v>2500000</v>
      </c>
      <c r="G28" s="76">
        <v>1</v>
      </c>
      <c r="H28" s="76">
        <v>2000000</v>
      </c>
      <c r="I28" s="85">
        <f t="shared" si="4"/>
        <v>2000000</v>
      </c>
      <c r="J28" s="69">
        <f t="shared" si="1"/>
        <v>-500000</v>
      </c>
      <c r="K28" s="74" t="s">
        <v>80</v>
      </c>
    </row>
    <row r="29" spans="1:11" s="87" customFormat="1" ht="31.5">
      <c r="A29" s="81" t="s">
        <v>46</v>
      </c>
      <c r="B29" s="71" t="s">
        <v>55</v>
      </c>
      <c r="C29" s="82" t="s">
        <v>56</v>
      </c>
      <c r="D29" s="76">
        <v>150</v>
      </c>
      <c r="E29" s="76">
        <v>15000</v>
      </c>
      <c r="F29" s="85">
        <f t="shared" si="3"/>
        <v>2250000</v>
      </c>
      <c r="G29" s="76">
        <v>150</v>
      </c>
      <c r="H29" s="76">
        <v>10000</v>
      </c>
      <c r="I29" s="85">
        <f t="shared" si="4"/>
        <v>1500000</v>
      </c>
      <c r="J29" s="69">
        <f t="shared" si="1"/>
        <v>-750000</v>
      </c>
      <c r="K29" s="74" t="s">
        <v>408</v>
      </c>
    </row>
    <row r="30" spans="1:11" ht="47.25">
      <c r="A30" s="60">
        <v>2</v>
      </c>
      <c r="B30" s="88" t="s">
        <v>81</v>
      </c>
      <c r="C30" s="62"/>
      <c r="D30" s="63"/>
      <c r="E30" s="63"/>
      <c r="F30" s="79">
        <f>F31+F32+F33+F34+F35</f>
        <v>7340000</v>
      </c>
      <c r="G30" s="63"/>
      <c r="H30" s="63"/>
      <c r="I30" s="79">
        <f>SUM(I31:I35)</f>
        <v>3960000</v>
      </c>
      <c r="J30" s="89">
        <f t="shared" si="1"/>
        <v>-3380000</v>
      </c>
      <c r="K30" s="74" t="s">
        <v>82</v>
      </c>
    </row>
    <row r="31" spans="1:11" ht="31.5">
      <c r="A31" s="81" t="s">
        <v>46</v>
      </c>
      <c r="B31" s="84" t="s">
        <v>47</v>
      </c>
      <c r="C31" s="86" t="s">
        <v>48</v>
      </c>
      <c r="D31" s="76">
        <v>2</v>
      </c>
      <c r="E31" s="85">
        <v>600000</v>
      </c>
      <c r="F31" s="83">
        <f>SUM(E31*D31)</f>
        <v>1200000</v>
      </c>
      <c r="G31" s="76">
        <v>2</v>
      </c>
      <c r="H31" s="85">
        <v>600000</v>
      </c>
      <c r="I31" s="83">
        <f>G31*H31</f>
        <v>1200000</v>
      </c>
      <c r="J31" s="69">
        <f t="shared" si="1"/>
        <v>0</v>
      </c>
      <c r="K31" s="300" t="s">
        <v>83</v>
      </c>
    </row>
    <row r="32" spans="1:11">
      <c r="A32" s="81" t="s">
        <v>46</v>
      </c>
      <c r="B32" s="84" t="s">
        <v>84</v>
      </c>
      <c r="C32" s="86" t="s">
        <v>50</v>
      </c>
      <c r="D32" s="76">
        <v>2</v>
      </c>
      <c r="E32" s="76">
        <v>70000</v>
      </c>
      <c r="F32" s="83">
        <f>SUM(E32*D32)</f>
        <v>140000</v>
      </c>
      <c r="G32" s="76">
        <v>2</v>
      </c>
      <c r="H32" s="76">
        <v>70000</v>
      </c>
      <c r="I32" s="83">
        <f>G32*H32</f>
        <v>140000</v>
      </c>
      <c r="J32" s="69">
        <f t="shared" si="1"/>
        <v>0</v>
      </c>
      <c r="K32" s="300"/>
    </row>
    <row r="33" spans="1:11" ht="31.5">
      <c r="A33" s="81" t="s">
        <v>46</v>
      </c>
      <c r="B33" s="84" t="s">
        <v>85</v>
      </c>
      <c r="C33" s="86" t="s">
        <v>52</v>
      </c>
      <c r="D33" s="76">
        <v>1</v>
      </c>
      <c r="E33" s="76">
        <v>2000000</v>
      </c>
      <c r="F33" s="83">
        <f>SUM(E33*D33)</f>
        <v>2000000</v>
      </c>
      <c r="G33" s="76">
        <v>1</v>
      </c>
      <c r="H33" s="76">
        <v>1500000</v>
      </c>
      <c r="I33" s="83">
        <f>G33*H33</f>
        <v>1500000</v>
      </c>
      <c r="J33" s="69">
        <f t="shared" si="1"/>
        <v>-500000</v>
      </c>
      <c r="K33" s="300"/>
    </row>
    <row r="34" spans="1:11" ht="47.25">
      <c r="A34" s="81" t="s">
        <v>46</v>
      </c>
      <c r="B34" s="84" t="s">
        <v>86</v>
      </c>
      <c r="C34" s="86" t="s">
        <v>54</v>
      </c>
      <c r="D34" s="76">
        <v>50</v>
      </c>
      <c r="E34" s="76">
        <v>40000</v>
      </c>
      <c r="F34" s="83">
        <f t="shared" ref="F34:F35" si="5">SUM(E34*D34)</f>
        <v>2000000</v>
      </c>
      <c r="G34" s="76">
        <v>35</v>
      </c>
      <c r="H34" s="76">
        <v>30000</v>
      </c>
      <c r="I34" s="83">
        <f>G34*H34</f>
        <v>1050000</v>
      </c>
      <c r="J34" s="69">
        <f t="shared" si="1"/>
        <v>-950000</v>
      </c>
      <c r="K34" s="300"/>
    </row>
    <row r="35" spans="1:11" s="87" customFormat="1" ht="31.5">
      <c r="A35" s="81" t="s">
        <v>46</v>
      </c>
      <c r="B35" s="84" t="s">
        <v>55</v>
      </c>
      <c r="C35" s="82" t="s">
        <v>56</v>
      </c>
      <c r="D35" s="90">
        <v>50</v>
      </c>
      <c r="E35" s="76">
        <v>40000</v>
      </c>
      <c r="F35" s="83">
        <f t="shared" si="5"/>
        <v>2000000</v>
      </c>
      <c r="G35" s="90">
        <v>35</v>
      </c>
      <c r="H35" s="76">
        <v>2000</v>
      </c>
      <c r="I35" s="83">
        <f>G35*H35</f>
        <v>70000</v>
      </c>
      <c r="J35" s="69">
        <f t="shared" si="1"/>
        <v>-1930000</v>
      </c>
      <c r="K35" s="300"/>
    </row>
    <row r="36" spans="1:11" s="87" customFormat="1" ht="87.75" customHeight="1">
      <c r="A36" s="60">
        <v>3</v>
      </c>
      <c r="B36" s="91" t="s">
        <v>87</v>
      </c>
      <c r="C36" s="62"/>
      <c r="D36" s="63"/>
      <c r="E36" s="63"/>
      <c r="F36" s="79">
        <f>SUM(F37:F39)</f>
        <v>154550000</v>
      </c>
      <c r="G36" s="63"/>
      <c r="H36" s="63"/>
      <c r="I36" s="79">
        <f>SUM(I37:I39)</f>
        <v>154550000</v>
      </c>
      <c r="J36" s="89">
        <f t="shared" si="1"/>
        <v>0</v>
      </c>
      <c r="K36" s="302" t="s">
        <v>88</v>
      </c>
    </row>
    <row r="37" spans="1:11" ht="34.5" customHeight="1">
      <c r="A37" s="81" t="s">
        <v>46</v>
      </c>
      <c r="B37" s="66" t="s">
        <v>89</v>
      </c>
      <c r="C37" s="82" t="s">
        <v>90</v>
      </c>
      <c r="D37" s="76">
        <v>12364</v>
      </c>
      <c r="E37" s="76">
        <v>10000</v>
      </c>
      <c r="F37" s="83">
        <f>D37*E37</f>
        <v>123640000</v>
      </c>
      <c r="G37" s="76">
        <v>12364</v>
      </c>
      <c r="H37" s="76">
        <v>10000</v>
      </c>
      <c r="I37" s="83">
        <f>G37*H37</f>
        <v>123640000</v>
      </c>
      <c r="J37" s="69">
        <f t="shared" si="1"/>
        <v>0</v>
      </c>
      <c r="K37" s="303"/>
    </row>
    <row r="38" spans="1:11" ht="31.5">
      <c r="A38" s="81" t="s">
        <v>46</v>
      </c>
      <c r="B38" s="66" t="s">
        <v>91</v>
      </c>
      <c r="C38" s="82" t="s">
        <v>90</v>
      </c>
      <c r="D38" s="76">
        <v>12364</v>
      </c>
      <c r="E38" s="76">
        <v>1500</v>
      </c>
      <c r="F38" s="83">
        <f>D38*E38</f>
        <v>18546000</v>
      </c>
      <c r="G38" s="76">
        <v>12364</v>
      </c>
      <c r="H38" s="76">
        <v>1500</v>
      </c>
      <c r="I38" s="83">
        <f>G38*H38</f>
        <v>18546000</v>
      </c>
      <c r="J38" s="69">
        <f t="shared" si="1"/>
        <v>0</v>
      </c>
      <c r="K38" s="303"/>
    </row>
    <row r="39" spans="1:11" ht="31.5">
      <c r="A39" s="81" t="s">
        <v>46</v>
      </c>
      <c r="B39" s="66" t="s">
        <v>92</v>
      </c>
      <c r="C39" s="82" t="s">
        <v>90</v>
      </c>
      <c r="D39" s="76">
        <v>12364</v>
      </c>
      <c r="E39" s="76">
        <v>1000</v>
      </c>
      <c r="F39" s="83">
        <f>D39*E39</f>
        <v>12364000</v>
      </c>
      <c r="G39" s="76">
        <v>12364</v>
      </c>
      <c r="H39" s="76">
        <v>1000</v>
      </c>
      <c r="I39" s="83">
        <f>G39*H39</f>
        <v>12364000</v>
      </c>
      <c r="J39" s="69">
        <f t="shared" si="1"/>
        <v>0</v>
      </c>
      <c r="K39" s="303"/>
    </row>
    <row r="40" spans="1:11" ht="19.5" customHeight="1">
      <c r="A40" s="150" t="s">
        <v>93</v>
      </c>
      <c r="B40" s="151" t="s">
        <v>94</v>
      </c>
      <c r="C40" s="82"/>
      <c r="D40" s="76"/>
      <c r="E40" s="76"/>
      <c r="F40" s="96">
        <f>F41+F48+F54</f>
        <v>148645000</v>
      </c>
      <c r="G40" s="126"/>
      <c r="H40" s="126"/>
      <c r="I40" s="96">
        <f>I41+I48+I54</f>
        <v>142420000</v>
      </c>
      <c r="J40" s="89">
        <f t="shared" si="1"/>
        <v>-6225000</v>
      </c>
      <c r="K40" s="74"/>
    </row>
    <row r="41" spans="1:11" ht="36" customHeight="1">
      <c r="A41" s="60">
        <v>1</v>
      </c>
      <c r="B41" s="61" t="s">
        <v>70</v>
      </c>
      <c r="C41" s="62"/>
      <c r="D41" s="63"/>
      <c r="E41" s="63"/>
      <c r="F41" s="63">
        <f>SUM(F42:F47)</f>
        <v>7830000</v>
      </c>
      <c r="G41" s="63"/>
      <c r="H41" s="63"/>
      <c r="I41" s="63">
        <f>SUM(I42:I47)</f>
        <v>4825000</v>
      </c>
      <c r="J41" s="69">
        <f t="shared" si="1"/>
        <v>-3005000</v>
      </c>
      <c r="K41" s="94"/>
    </row>
    <row r="42" spans="1:11">
      <c r="A42" s="81" t="s">
        <v>46</v>
      </c>
      <c r="B42" s="66" t="s">
        <v>95</v>
      </c>
      <c r="C42" s="82" t="s">
        <v>96</v>
      </c>
      <c r="D42" s="76">
        <v>50</v>
      </c>
      <c r="E42" s="76">
        <v>80000</v>
      </c>
      <c r="F42" s="83">
        <f>D42*E42</f>
        <v>4000000</v>
      </c>
      <c r="G42" s="76">
        <v>30</v>
      </c>
      <c r="H42" s="76">
        <v>80000</v>
      </c>
      <c r="I42" s="83">
        <f>G42*H42</f>
        <v>2400000</v>
      </c>
      <c r="J42" s="69">
        <f t="shared" si="1"/>
        <v>-1600000</v>
      </c>
      <c r="K42" s="290" t="s">
        <v>80</v>
      </c>
    </row>
    <row r="43" spans="1:11">
      <c r="A43" s="81" t="s">
        <v>46</v>
      </c>
      <c r="B43" s="66" t="s">
        <v>97</v>
      </c>
      <c r="C43" s="82" t="s">
        <v>98</v>
      </c>
      <c r="D43" s="76">
        <v>1</v>
      </c>
      <c r="E43" s="76">
        <v>1525000</v>
      </c>
      <c r="F43" s="83">
        <f>D43*E43</f>
        <v>1525000</v>
      </c>
      <c r="G43" s="76">
        <v>1</v>
      </c>
      <c r="H43" s="76">
        <v>1000000</v>
      </c>
      <c r="I43" s="83">
        <f>G43*H43</f>
        <v>1000000</v>
      </c>
      <c r="J43" s="69">
        <f t="shared" si="1"/>
        <v>-525000</v>
      </c>
      <c r="K43" s="290"/>
    </row>
    <row r="44" spans="1:11">
      <c r="A44" s="81" t="s">
        <v>46</v>
      </c>
      <c r="B44" s="66" t="s">
        <v>99</v>
      </c>
      <c r="C44" s="82" t="s">
        <v>100</v>
      </c>
      <c r="D44" s="76">
        <v>3</v>
      </c>
      <c r="E44" s="76">
        <v>350000</v>
      </c>
      <c r="F44" s="83">
        <f>D44*E44</f>
        <v>1050000</v>
      </c>
      <c r="G44" s="76">
        <v>3</v>
      </c>
      <c r="H44" s="76">
        <v>350000</v>
      </c>
      <c r="I44" s="83">
        <f>G44*H44</f>
        <v>1050000</v>
      </c>
      <c r="J44" s="69">
        <f t="shared" si="1"/>
        <v>0</v>
      </c>
      <c r="K44" s="290"/>
    </row>
    <row r="45" spans="1:11">
      <c r="A45" s="81" t="s">
        <v>46</v>
      </c>
      <c r="B45" s="66" t="s">
        <v>101</v>
      </c>
      <c r="C45" s="82" t="s">
        <v>102</v>
      </c>
      <c r="D45" s="76">
        <v>15</v>
      </c>
      <c r="E45" s="76">
        <v>25000</v>
      </c>
      <c r="F45" s="83">
        <f>D45*E45</f>
        <v>375000</v>
      </c>
      <c r="G45" s="76">
        <v>15</v>
      </c>
      <c r="H45" s="76">
        <v>25000</v>
      </c>
      <c r="I45" s="83">
        <f>G45*H45</f>
        <v>375000</v>
      </c>
      <c r="J45" s="69">
        <f t="shared" si="1"/>
        <v>0</v>
      </c>
      <c r="K45" s="290"/>
    </row>
    <row r="46" spans="1:11">
      <c r="A46" s="81" t="s">
        <v>46</v>
      </c>
      <c r="B46" s="84" t="s">
        <v>72</v>
      </c>
      <c r="C46" s="82" t="s">
        <v>73</v>
      </c>
      <c r="D46" s="76">
        <v>1</v>
      </c>
      <c r="E46" s="85">
        <v>750000</v>
      </c>
      <c r="F46" s="85">
        <v>750000</v>
      </c>
      <c r="G46" s="76"/>
      <c r="H46" s="85"/>
      <c r="I46" s="85">
        <v>0</v>
      </c>
      <c r="J46" s="69">
        <f t="shared" si="1"/>
        <v>-750000</v>
      </c>
      <c r="K46" s="301" t="s">
        <v>74</v>
      </c>
    </row>
    <row r="47" spans="1:11">
      <c r="A47" s="81" t="s">
        <v>46</v>
      </c>
      <c r="B47" s="84" t="s">
        <v>75</v>
      </c>
      <c r="C47" s="86" t="s">
        <v>73</v>
      </c>
      <c r="D47" s="76">
        <v>1</v>
      </c>
      <c r="E47" s="85">
        <v>130000</v>
      </c>
      <c r="F47" s="85">
        <v>130000</v>
      </c>
      <c r="G47" s="76"/>
      <c r="H47" s="85"/>
      <c r="I47" s="85">
        <v>0</v>
      </c>
      <c r="J47" s="69">
        <f t="shared" si="1"/>
        <v>-130000</v>
      </c>
      <c r="K47" s="301"/>
    </row>
    <row r="48" spans="1:11" ht="55.5" customHeight="1">
      <c r="A48" s="92">
        <v>2</v>
      </c>
      <c r="B48" s="88" t="s">
        <v>81</v>
      </c>
      <c r="C48" s="62"/>
      <c r="D48" s="63"/>
      <c r="E48" s="63"/>
      <c r="F48" s="79">
        <f>F49+F50+F51+F52+F53</f>
        <v>7340000</v>
      </c>
      <c r="G48" s="79"/>
      <c r="H48" s="79"/>
      <c r="I48" s="79">
        <f>SUM(I49:I53)</f>
        <v>4120000</v>
      </c>
      <c r="J48" s="89">
        <f t="shared" si="1"/>
        <v>-3220000</v>
      </c>
      <c r="K48" s="74" t="s">
        <v>103</v>
      </c>
    </row>
    <row r="49" spans="1:11" ht="31.5">
      <c r="A49" s="93" t="s">
        <v>46</v>
      </c>
      <c r="B49" s="84" t="s">
        <v>47</v>
      </c>
      <c r="C49" s="86" t="s">
        <v>48</v>
      </c>
      <c r="D49" s="76">
        <v>2</v>
      </c>
      <c r="E49" s="85">
        <v>600000</v>
      </c>
      <c r="F49" s="83">
        <f>D49*E49</f>
        <v>1200000</v>
      </c>
      <c r="G49" s="76">
        <v>2</v>
      </c>
      <c r="H49" s="85">
        <v>600000</v>
      </c>
      <c r="I49" s="83">
        <f>G49*H49</f>
        <v>1200000</v>
      </c>
      <c r="J49" s="69">
        <f t="shared" si="1"/>
        <v>0</v>
      </c>
      <c r="K49" s="300" t="s">
        <v>104</v>
      </c>
    </row>
    <row r="50" spans="1:11">
      <c r="A50" s="93" t="s">
        <v>46</v>
      </c>
      <c r="B50" s="84" t="s">
        <v>84</v>
      </c>
      <c r="C50" s="86" t="s">
        <v>50</v>
      </c>
      <c r="D50" s="76">
        <v>2</v>
      </c>
      <c r="E50" s="76">
        <v>70000</v>
      </c>
      <c r="F50" s="83">
        <f t="shared" ref="F50:F52" si="6">D50*E50</f>
        <v>140000</v>
      </c>
      <c r="G50" s="76">
        <v>2</v>
      </c>
      <c r="H50" s="76">
        <v>70000</v>
      </c>
      <c r="I50" s="83">
        <f>G50*H50</f>
        <v>140000</v>
      </c>
      <c r="J50" s="69">
        <f t="shared" si="1"/>
        <v>0</v>
      </c>
      <c r="K50" s="300"/>
    </row>
    <row r="51" spans="1:11" ht="31.5">
      <c r="A51" s="93" t="s">
        <v>46</v>
      </c>
      <c r="B51" s="84" t="s">
        <v>85</v>
      </c>
      <c r="C51" s="86" t="s">
        <v>52</v>
      </c>
      <c r="D51" s="76">
        <v>1</v>
      </c>
      <c r="E51" s="76">
        <v>2000000</v>
      </c>
      <c r="F51" s="83">
        <f t="shared" si="6"/>
        <v>2000000</v>
      </c>
      <c r="G51" s="76">
        <v>1</v>
      </c>
      <c r="H51" s="76">
        <v>1500000</v>
      </c>
      <c r="I51" s="83">
        <f>G51*H51</f>
        <v>1500000</v>
      </c>
      <c r="J51" s="69">
        <f t="shared" si="1"/>
        <v>-500000</v>
      </c>
      <c r="K51" s="300"/>
    </row>
    <row r="52" spans="1:11" ht="47.25">
      <c r="A52" s="93" t="s">
        <v>46</v>
      </c>
      <c r="B52" s="84" t="s">
        <v>86</v>
      </c>
      <c r="C52" s="86" t="s">
        <v>54</v>
      </c>
      <c r="D52" s="76">
        <v>50</v>
      </c>
      <c r="E52" s="76">
        <v>40000</v>
      </c>
      <c r="F52" s="83">
        <f t="shared" si="6"/>
        <v>2000000</v>
      </c>
      <c r="G52" s="76">
        <f>17*2+6</f>
        <v>40</v>
      </c>
      <c r="H52" s="76">
        <v>30000</v>
      </c>
      <c r="I52" s="83">
        <f>G52*H52</f>
        <v>1200000</v>
      </c>
      <c r="J52" s="69">
        <f t="shared" si="1"/>
        <v>-800000</v>
      </c>
      <c r="K52" s="300"/>
    </row>
    <row r="53" spans="1:11" s="87" customFormat="1">
      <c r="A53" s="93" t="s">
        <v>46</v>
      </c>
      <c r="B53" s="84" t="s">
        <v>55</v>
      </c>
      <c r="C53" s="82" t="s">
        <v>105</v>
      </c>
      <c r="D53" s="90">
        <v>50</v>
      </c>
      <c r="E53" s="76">
        <v>40000</v>
      </c>
      <c r="F53" s="83">
        <f>D53*E53</f>
        <v>2000000</v>
      </c>
      <c r="G53" s="83">
        <v>40</v>
      </c>
      <c r="H53" s="83">
        <v>2000</v>
      </c>
      <c r="I53" s="83">
        <f>G53*H53</f>
        <v>80000</v>
      </c>
      <c r="J53" s="69">
        <f t="shared" si="1"/>
        <v>-1920000</v>
      </c>
      <c r="K53" s="300"/>
    </row>
    <row r="54" spans="1:11" ht="78.75">
      <c r="A54" s="60">
        <v>3</v>
      </c>
      <c r="B54" s="91" t="s">
        <v>87</v>
      </c>
      <c r="C54" s="62"/>
      <c r="D54" s="63"/>
      <c r="E54" s="63"/>
      <c r="F54" s="79">
        <f>F55+F56+F57</f>
        <v>133475000</v>
      </c>
      <c r="G54" s="63"/>
      <c r="H54" s="63"/>
      <c r="I54" s="79">
        <f>I55+I56+I57</f>
        <v>133475000</v>
      </c>
      <c r="J54" s="69">
        <f t="shared" si="1"/>
        <v>0</v>
      </c>
      <c r="K54" s="300" t="s">
        <v>106</v>
      </c>
    </row>
    <row r="55" spans="1:11" ht="31.5">
      <c r="A55" s="81" t="s">
        <v>46</v>
      </c>
      <c r="B55" s="66" t="s">
        <v>89</v>
      </c>
      <c r="C55" s="82" t="s">
        <v>90</v>
      </c>
      <c r="D55" s="76">
        <v>10678</v>
      </c>
      <c r="E55" s="85">
        <v>10000</v>
      </c>
      <c r="F55" s="83">
        <v>106780000</v>
      </c>
      <c r="G55" s="76">
        <v>10678</v>
      </c>
      <c r="H55" s="85">
        <v>10000</v>
      </c>
      <c r="I55" s="83">
        <v>106780000</v>
      </c>
      <c r="J55" s="69">
        <f t="shared" si="1"/>
        <v>0</v>
      </c>
      <c r="K55" s="300"/>
    </row>
    <row r="56" spans="1:11" ht="31.5">
      <c r="A56" s="81" t="s">
        <v>46</v>
      </c>
      <c r="B56" s="66" t="s">
        <v>91</v>
      </c>
      <c r="C56" s="82" t="s">
        <v>90</v>
      </c>
      <c r="D56" s="76">
        <v>10678</v>
      </c>
      <c r="E56" s="76">
        <v>1500</v>
      </c>
      <c r="F56" s="83">
        <v>16017000</v>
      </c>
      <c r="G56" s="76">
        <v>10678</v>
      </c>
      <c r="H56" s="76">
        <v>1500</v>
      </c>
      <c r="I56" s="83">
        <v>16017000</v>
      </c>
      <c r="J56" s="69">
        <f t="shared" si="1"/>
        <v>0</v>
      </c>
      <c r="K56" s="300"/>
    </row>
    <row r="57" spans="1:11" ht="31.5">
      <c r="A57" s="81" t="s">
        <v>46</v>
      </c>
      <c r="B57" s="66" t="s">
        <v>92</v>
      </c>
      <c r="C57" s="82" t="s">
        <v>90</v>
      </c>
      <c r="D57" s="76">
        <v>10678</v>
      </c>
      <c r="E57" s="76">
        <v>1000</v>
      </c>
      <c r="F57" s="83">
        <v>10678000</v>
      </c>
      <c r="G57" s="76">
        <v>10678</v>
      </c>
      <c r="H57" s="76">
        <v>1000</v>
      </c>
      <c r="I57" s="83">
        <v>10678000</v>
      </c>
      <c r="J57" s="69">
        <f t="shared" si="1"/>
        <v>0</v>
      </c>
      <c r="K57" s="300"/>
    </row>
    <row r="58" spans="1:11">
      <c r="A58" s="150" t="s">
        <v>107</v>
      </c>
      <c r="B58" s="151" t="s">
        <v>108</v>
      </c>
      <c r="C58" s="156"/>
      <c r="D58" s="157"/>
      <c r="E58" s="157"/>
      <c r="F58" s="158">
        <f>+F59+F67+F73+F77</f>
        <v>1047015000</v>
      </c>
      <c r="G58" s="158"/>
      <c r="H58" s="158"/>
      <c r="I58" s="158">
        <f>+I59+I67+I73+I77</f>
        <v>861578000</v>
      </c>
      <c r="J58" s="158">
        <f>+J59+J67+J73+J77</f>
        <v>-185437000</v>
      </c>
      <c r="K58" s="159"/>
    </row>
    <row r="59" spans="1:11" ht="31.5">
      <c r="A59" s="92">
        <v>1</v>
      </c>
      <c r="B59" s="91" t="s">
        <v>70</v>
      </c>
      <c r="C59" s="62"/>
      <c r="D59" s="63"/>
      <c r="E59" s="63"/>
      <c r="F59" s="63">
        <f>SUM(F60:F66)</f>
        <v>13680000</v>
      </c>
      <c r="G59" s="63"/>
      <c r="H59" s="63"/>
      <c r="I59" s="63">
        <f>SUM(I60:I66)</f>
        <v>7600000</v>
      </c>
      <c r="J59" s="89">
        <f t="shared" ref="J59:J76" si="7">I59-F59</f>
        <v>-6080000</v>
      </c>
      <c r="K59" s="74" t="s">
        <v>71</v>
      </c>
    </row>
    <row r="60" spans="1:11">
      <c r="A60" s="93" t="s">
        <v>46</v>
      </c>
      <c r="B60" s="71" t="s">
        <v>72</v>
      </c>
      <c r="C60" s="82" t="s">
        <v>73</v>
      </c>
      <c r="D60" s="76">
        <v>1</v>
      </c>
      <c r="E60" s="85">
        <v>750000</v>
      </c>
      <c r="F60" s="85">
        <v>750000</v>
      </c>
      <c r="G60" s="76"/>
      <c r="H60" s="85"/>
      <c r="I60" s="85">
        <f t="shared" ref="I60:I66" si="8">+G60*H60</f>
        <v>0</v>
      </c>
      <c r="J60" s="69">
        <f t="shared" si="7"/>
        <v>-750000</v>
      </c>
      <c r="K60" s="301" t="s">
        <v>74</v>
      </c>
    </row>
    <row r="61" spans="1:11">
      <c r="A61" s="93" t="s">
        <v>46</v>
      </c>
      <c r="B61" s="71" t="s">
        <v>75</v>
      </c>
      <c r="C61" s="86" t="s">
        <v>73</v>
      </c>
      <c r="D61" s="76">
        <v>1</v>
      </c>
      <c r="E61" s="85">
        <v>130000</v>
      </c>
      <c r="F61" s="85">
        <v>130000</v>
      </c>
      <c r="G61" s="76"/>
      <c r="H61" s="85"/>
      <c r="I61" s="85">
        <f t="shared" si="8"/>
        <v>0</v>
      </c>
      <c r="J61" s="69">
        <f t="shared" si="7"/>
        <v>-130000</v>
      </c>
      <c r="K61" s="301"/>
    </row>
    <row r="62" spans="1:11" ht="31.5">
      <c r="A62" s="93" t="s">
        <v>46</v>
      </c>
      <c r="B62" s="71" t="s">
        <v>76</v>
      </c>
      <c r="C62" s="82" t="s">
        <v>77</v>
      </c>
      <c r="D62" s="76">
        <v>25</v>
      </c>
      <c r="E62" s="85">
        <v>40000</v>
      </c>
      <c r="F62" s="83">
        <v>1000000</v>
      </c>
      <c r="G62" s="76">
        <v>25</v>
      </c>
      <c r="H62" s="85">
        <v>40000</v>
      </c>
      <c r="I62" s="85">
        <f t="shared" si="8"/>
        <v>1000000</v>
      </c>
      <c r="J62" s="69">
        <f t="shared" si="7"/>
        <v>0</v>
      </c>
      <c r="K62" s="74" t="s">
        <v>407</v>
      </c>
    </row>
    <row r="63" spans="1:11" ht="31.5">
      <c r="A63" s="93" t="s">
        <v>46</v>
      </c>
      <c r="B63" s="71" t="s">
        <v>78</v>
      </c>
      <c r="C63" s="82" t="s">
        <v>48</v>
      </c>
      <c r="D63" s="76">
        <v>1</v>
      </c>
      <c r="E63" s="76">
        <v>1200000</v>
      </c>
      <c r="F63" s="83">
        <v>1200000</v>
      </c>
      <c r="G63" s="76">
        <v>2</v>
      </c>
      <c r="H63" s="76">
        <v>200000</v>
      </c>
      <c r="I63" s="85">
        <f t="shared" si="8"/>
        <v>400000</v>
      </c>
      <c r="J63" s="69">
        <f t="shared" si="7"/>
        <v>-800000</v>
      </c>
      <c r="K63" s="74" t="s">
        <v>411</v>
      </c>
    </row>
    <row r="64" spans="1:11">
      <c r="A64" s="93" t="s">
        <v>46</v>
      </c>
      <c r="B64" s="71" t="s">
        <v>109</v>
      </c>
      <c r="C64" s="82" t="s">
        <v>52</v>
      </c>
      <c r="D64" s="76">
        <v>1</v>
      </c>
      <c r="E64" s="76">
        <v>2500000</v>
      </c>
      <c r="F64" s="83">
        <v>2500000</v>
      </c>
      <c r="G64" s="76">
        <v>1</v>
      </c>
      <c r="H64" s="76">
        <v>2500000</v>
      </c>
      <c r="I64" s="85">
        <f t="shared" si="8"/>
        <v>2500000</v>
      </c>
      <c r="J64" s="69">
        <f t="shared" si="7"/>
        <v>0</v>
      </c>
      <c r="K64" s="74" t="s">
        <v>80</v>
      </c>
    </row>
    <row r="65" spans="1:11" ht="31.5">
      <c r="A65" s="93" t="s">
        <v>46</v>
      </c>
      <c r="B65" s="71" t="s">
        <v>110</v>
      </c>
      <c r="C65" s="82" t="s">
        <v>100</v>
      </c>
      <c r="D65" s="76">
        <v>6</v>
      </c>
      <c r="E65" s="76">
        <v>350000</v>
      </c>
      <c r="F65" s="83">
        <f>E65*D65</f>
        <v>2100000</v>
      </c>
      <c r="G65" s="76">
        <v>2</v>
      </c>
      <c r="H65" s="76">
        <v>350000</v>
      </c>
      <c r="I65" s="85">
        <f t="shared" si="8"/>
        <v>700000</v>
      </c>
      <c r="J65" s="69">
        <f t="shared" si="7"/>
        <v>-1400000</v>
      </c>
      <c r="K65" s="74" t="s">
        <v>80</v>
      </c>
    </row>
    <row r="66" spans="1:11" ht="63">
      <c r="A66" s="93" t="s">
        <v>46</v>
      </c>
      <c r="B66" s="71" t="s">
        <v>55</v>
      </c>
      <c r="C66" s="82" t="s">
        <v>59</v>
      </c>
      <c r="D66" s="76">
        <v>300</v>
      </c>
      <c r="E66" s="76">
        <v>20000</v>
      </c>
      <c r="F66" s="83">
        <f>D66*E66</f>
        <v>6000000</v>
      </c>
      <c r="G66" s="76">
        <v>300</v>
      </c>
      <c r="H66" s="76">
        <v>10000</v>
      </c>
      <c r="I66" s="85">
        <f t="shared" si="8"/>
        <v>3000000</v>
      </c>
      <c r="J66" s="69">
        <f t="shared" si="7"/>
        <v>-3000000</v>
      </c>
      <c r="K66" s="94" t="s">
        <v>111</v>
      </c>
    </row>
    <row r="67" spans="1:11" ht="47.25">
      <c r="A67" s="92">
        <v>2</v>
      </c>
      <c r="B67" s="88" t="s">
        <v>81</v>
      </c>
      <c r="C67" s="62"/>
      <c r="D67" s="63"/>
      <c r="E67" s="63"/>
      <c r="F67" s="79">
        <f>SUM(F68:F72)</f>
        <v>8480000</v>
      </c>
      <c r="G67" s="79"/>
      <c r="H67" s="79"/>
      <c r="I67" s="79">
        <f>SUM(I68:I72)</f>
        <v>4280000</v>
      </c>
      <c r="J67" s="89">
        <f t="shared" si="7"/>
        <v>-4200000</v>
      </c>
      <c r="K67" s="74" t="s">
        <v>103</v>
      </c>
    </row>
    <row r="68" spans="1:11" ht="31.5">
      <c r="A68" s="93" t="s">
        <v>46</v>
      </c>
      <c r="B68" s="84" t="s">
        <v>47</v>
      </c>
      <c r="C68" s="86" t="s">
        <v>59</v>
      </c>
      <c r="D68" s="76">
        <v>2</v>
      </c>
      <c r="E68" s="85">
        <v>600000</v>
      </c>
      <c r="F68" s="83">
        <f>D68*E68</f>
        <v>1200000</v>
      </c>
      <c r="G68" s="76">
        <v>2</v>
      </c>
      <c r="H68" s="85">
        <v>600000</v>
      </c>
      <c r="I68" s="83">
        <f>+G68*H68</f>
        <v>1200000</v>
      </c>
      <c r="J68" s="69">
        <f t="shared" si="7"/>
        <v>0</v>
      </c>
      <c r="K68" s="300" t="s">
        <v>112</v>
      </c>
    </row>
    <row r="69" spans="1:11">
      <c r="A69" s="93" t="s">
        <v>46</v>
      </c>
      <c r="B69" s="84" t="s">
        <v>84</v>
      </c>
      <c r="C69" s="86" t="s">
        <v>50</v>
      </c>
      <c r="D69" s="76">
        <v>2</v>
      </c>
      <c r="E69" s="76">
        <v>70000</v>
      </c>
      <c r="F69" s="83">
        <f>D69*E69</f>
        <v>140000</v>
      </c>
      <c r="G69" s="76">
        <v>2</v>
      </c>
      <c r="H69" s="76">
        <v>70000</v>
      </c>
      <c r="I69" s="83">
        <f>+G69*H69</f>
        <v>140000</v>
      </c>
      <c r="J69" s="69">
        <f t="shared" si="7"/>
        <v>0</v>
      </c>
      <c r="K69" s="300"/>
    </row>
    <row r="70" spans="1:11" ht="31.5">
      <c r="A70" s="93" t="s">
        <v>46</v>
      </c>
      <c r="B70" s="84" t="s">
        <v>85</v>
      </c>
      <c r="C70" s="86" t="s">
        <v>52</v>
      </c>
      <c r="D70" s="76">
        <v>1</v>
      </c>
      <c r="E70" s="76">
        <v>2500000</v>
      </c>
      <c r="F70" s="83">
        <f>D70*E70</f>
        <v>2500000</v>
      </c>
      <c r="G70" s="76">
        <v>1</v>
      </c>
      <c r="H70" s="76">
        <v>1500000</v>
      </c>
      <c r="I70" s="83">
        <f>+G70*H70</f>
        <v>1500000</v>
      </c>
      <c r="J70" s="69">
        <f t="shared" si="7"/>
        <v>-1000000</v>
      </c>
      <c r="K70" s="300"/>
    </row>
    <row r="71" spans="1:11" ht="47.25">
      <c r="A71" s="93" t="s">
        <v>46</v>
      </c>
      <c r="B71" s="84" t="s">
        <v>86</v>
      </c>
      <c r="C71" s="86" t="s">
        <v>54</v>
      </c>
      <c r="D71" s="76">
        <v>50</v>
      </c>
      <c r="E71" s="76">
        <v>40000</v>
      </c>
      <c r="F71" s="83">
        <f>D71*E71</f>
        <v>2000000</v>
      </c>
      <c r="G71" s="76">
        <v>45</v>
      </c>
      <c r="H71" s="76">
        <v>30000</v>
      </c>
      <c r="I71" s="83">
        <f>+G71*H71</f>
        <v>1350000</v>
      </c>
      <c r="J71" s="69">
        <f t="shared" si="7"/>
        <v>-650000</v>
      </c>
      <c r="K71" s="300"/>
    </row>
    <row r="72" spans="1:11">
      <c r="A72" s="93" t="s">
        <v>46</v>
      </c>
      <c r="B72" s="71" t="s">
        <v>55</v>
      </c>
      <c r="C72" s="82" t="s">
        <v>105</v>
      </c>
      <c r="D72" s="90">
        <f>66*2</f>
        <v>132</v>
      </c>
      <c r="E72" s="76">
        <v>20000</v>
      </c>
      <c r="F72" s="83">
        <f>D72*E72</f>
        <v>2640000</v>
      </c>
      <c r="G72" s="83">
        <v>45</v>
      </c>
      <c r="H72" s="83">
        <v>2000</v>
      </c>
      <c r="I72" s="83">
        <f>+G72*H72</f>
        <v>90000</v>
      </c>
      <c r="J72" s="69">
        <f t="shared" si="7"/>
        <v>-2550000</v>
      </c>
      <c r="K72" s="300"/>
    </row>
    <row r="73" spans="1:11" ht="78.75">
      <c r="A73" s="92">
        <v>3</v>
      </c>
      <c r="B73" s="91" t="s">
        <v>87</v>
      </c>
      <c r="C73" s="62"/>
      <c r="D73" s="63"/>
      <c r="E73" s="63"/>
      <c r="F73" s="63">
        <f>SUM(F74:F76)</f>
        <v>168675000</v>
      </c>
      <c r="G73" s="64"/>
      <c r="H73" s="64"/>
      <c r="I73" s="64">
        <f>SUM(I74:I76)</f>
        <v>168675000</v>
      </c>
      <c r="J73" s="89">
        <f t="shared" si="7"/>
        <v>0</v>
      </c>
      <c r="K73" s="300" t="s">
        <v>113</v>
      </c>
    </row>
    <row r="74" spans="1:11" ht="31.5">
      <c r="A74" s="93" t="s">
        <v>46</v>
      </c>
      <c r="B74" s="66" t="s">
        <v>89</v>
      </c>
      <c r="C74" s="82" t="s">
        <v>90</v>
      </c>
      <c r="D74" s="76">
        <v>13494</v>
      </c>
      <c r="E74" s="76">
        <v>10000</v>
      </c>
      <c r="F74" s="83">
        <f>D74*E74</f>
        <v>134940000</v>
      </c>
      <c r="G74" s="76">
        <v>13494</v>
      </c>
      <c r="H74" s="76">
        <v>10000</v>
      </c>
      <c r="I74" s="95">
        <f>+G74*H74</f>
        <v>134940000</v>
      </c>
      <c r="J74" s="69">
        <f t="shared" si="7"/>
        <v>0</v>
      </c>
      <c r="K74" s="300"/>
    </row>
    <row r="75" spans="1:11" ht="31.5">
      <c r="A75" s="93" t="s">
        <v>46</v>
      </c>
      <c r="B75" s="66" t="s">
        <v>91</v>
      </c>
      <c r="C75" s="82" t="s">
        <v>90</v>
      </c>
      <c r="D75" s="76">
        <v>13494</v>
      </c>
      <c r="E75" s="76">
        <v>1500</v>
      </c>
      <c r="F75" s="83">
        <f>D75*E75</f>
        <v>20241000</v>
      </c>
      <c r="G75" s="76">
        <v>13494</v>
      </c>
      <c r="H75" s="76">
        <v>1500</v>
      </c>
      <c r="I75" s="95">
        <f>+G75*H75</f>
        <v>20241000</v>
      </c>
      <c r="J75" s="69">
        <f t="shared" si="7"/>
        <v>0</v>
      </c>
      <c r="K75" s="300"/>
    </row>
    <row r="76" spans="1:11" ht="31.5">
      <c r="A76" s="93" t="s">
        <v>46</v>
      </c>
      <c r="B76" s="66" t="s">
        <v>92</v>
      </c>
      <c r="C76" s="82" t="s">
        <v>90</v>
      </c>
      <c r="D76" s="76">
        <v>13494</v>
      </c>
      <c r="E76" s="76">
        <v>1000</v>
      </c>
      <c r="F76" s="83">
        <f>D76*E76</f>
        <v>13494000</v>
      </c>
      <c r="G76" s="76">
        <v>13494</v>
      </c>
      <c r="H76" s="76">
        <v>1000</v>
      </c>
      <c r="I76" s="95">
        <f>+G76*H76</f>
        <v>13494000</v>
      </c>
      <c r="J76" s="69">
        <f t="shared" si="7"/>
        <v>0</v>
      </c>
      <c r="K76" s="300"/>
    </row>
    <row r="77" spans="1:11">
      <c r="A77" s="92">
        <v>4</v>
      </c>
      <c r="B77" s="61" t="s">
        <v>114</v>
      </c>
      <c r="C77" s="62"/>
      <c r="D77" s="79"/>
      <c r="E77" s="79"/>
      <c r="F77" s="96">
        <f>SUM(F78,F82,F83,F87,F90)</f>
        <v>856180000</v>
      </c>
      <c r="G77" s="79"/>
      <c r="H77" s="79"/>
      <c r="I77" s="96">
        <f>SUM(I78,I82,I83,I87,I90)</f>
        <v>681023000</v>
      </c>
      <c r="J77" s="96">
        <f>SUM(J78,J82,J83,J87,J90)</f>
        <v>-175157000</v>
      </c>
      <c r="K77" s="160"/>
    </row>
    <row r="78" spans="1:11" ht="31.5">
      <c r="A78" s="93" t="s">
        <v>115</v>
      </c>
      <c r="B78" s="97" t="s">
        <v>116</v>
      </c>
      <c r="C78" s="82" t="s">
        <v>117</v>
      </c>
      <c r="D78" s="76"/>
      <c r="E78" s="76"/>
      <c r="F78" s="83">
        <f>F79+F80+F81</f>
        <v>10200000</v>
      </c>
      <c r="G78" s="76"/>
      <c r="H78" s="76"/>
      <c r="I78" s="83">
        <f>I79+I80+I81</f>
        <v>10200000</v>
      </c>
      <c r="J78" s="69">
        <f t="shared" ref="J78:J115" si="9">I78-F78</f>
        <v>0</v>
      </c>
      <c r="K78" s="300" t="s">
        <v>118</v>
      </c>
    </row>
    <row r="79" spans="1:11" ht="63">
      <c r="A79" s="98" t="s">
        <v>46</v>
      </c>
      <c r="B79" s="99" t="s">
        <v>119</v>
      </c>
      <c r="C79" s="100" t="s">
        <v>120</v>
      </c>
      <c r="D79" s="101">
        <v>8</v>
      </c>
      <c r="E79" s="101">
        <v>900000</v>
      </c>
      <c r="F79" s="102">
        <f>D79*E79</f>
        <v>7200000</v>
      </c>
      <c r="G79" s="101">
        <v>8</v>
      </c>
      <c r="H79" s="101">
        <v>900000</v>
      </c>
      <c r="I79" s="102">
        <f>G79*H79</f>
        <v>7200000</v>
      </c>
      <c r="J79" s="103">
        <f t="shared" si="9"/>
        <v>0</v>
      </c>
      <c r="K79" s="301"/>
    </row>
    <row r="80" spans="1:11" ht="63">
      <c r="A80" s="98" t="s">
        <v>46</v>
      </c>
      <c r="B80" s="99" t="s">
        <v>121</v>
      </c>
      <c r="C80" s="100" t="s">
        <v>120</v>
      </c>
      <c r="D80" s="101">
        <v>2</v>
      </c>
      <c r="E80" s="101">
        <v>900000</v>
      </c>
      <c r="F80" s="102">
        <f>D80*E80</f>
        <v>1800000</v>
      </c>
      <c r="G80" s="101">
        <v>2</v>
      </c>
      <c r="H80" s="101">
        <v>900000</v>
      </c>
      <c r="I80" s="102">
        <f>G80*H80</f>
        <v>1800000</v>
      </c>
      <c r="J80" s="103">
        <f t="shared" si="9"/>
        <v>0</v>
      </c>
      <c r="K80" s="301"/>
    </row>
    <row r="81" spans="1:11" ht="47.25">
      <c r="A81" s="98" t="s">
        <v>46</v>
      </c>
      <c r="B81" s="99" t="s">
        <v>122</v>
      </c>
      <c r="C81" s="100" t="s">
        <v>123</v>
      </c>
      <c r="D81" s="101">
        <f>4*3</f>
        <v>12</v>
      </c>
      <c r="E81" s="101">
        <f>900000/9</f>
        <v>100000</v>
      </c>
      <c r="F81" s="102">
        <f>D81*E81</f>
        <v>1200000</v>
      </c>
      <c r="G81" s="101">
        <f>4*3</f>
        <v>12</v>
      </c>
      <c r="H81" s="101">
        <v>100000</v>
      </c>
      <c r="I81" s="102">
        <f>G81*H81</f>
        <v>1200000</v>
      </c>
      <c r="J81" s="103">
        <f t="shared" si="9"/>
        <v>0</v>
      </c>
      <c r="K81" s="301"/>
    </row>
    <row r="82" spans="1:11" ht="78.75">
      <c r="A82" s="93" t="s">
        <v>124</v>
      </c>
      <c r="B82" s="74" t="s">
        <v>125</v>
      </c>
      <c r="C82" s="82" t="s">
        <v>96</v>
      </c>
      <c r="D82" s="76">
        <v>172</v>
      </c>
      <c r="E82" s="76">
        <v>200000</v>
      </c>
      <c r="F82" s="83">
        <f>E82*D82</f>
        <v>34400000</v>
      </c>
      <c r="G82" s="76">
        <v>172</v>
      </c>
      <c r="H82" s="95">
        <v>200000</v>
      </c>
      <c r="I82" s="95">
        <f>+G82*H82</f>
        <v>34400000</v>
      </c>
      <c r="J82" s="69">
        <f t="shared" si="9"/>
        <v>0</v>
      </c>
      <c r="K82" s="94" t="s">
        <v>126</v>
      </c>
    </row>
    <row r="83" spans="1:11" ht="31.5">
      <c r="A83" s="93" t="s">
        <v>127</v>
      </c>
      <c r="B83" s="74" t="s">
        <v>128</v>
      </c>
      <c r="C83" s="82"/>
      <c r="D83" s="76"/>
      <c r="E83" s="76"/>
      <c r="F83" s="83">
        <f>F84+F85+F86</f>
        <v>20400000</v>
      </c>
      <c r="G83" s="95"/>
      <c r="H83" s="95"/>
      <c r="I83" s="95">
        <f>SUM(I84:I86)</f>
        <v>20400000</v>
      </c>
      <c r="J83" s="69">
        <f t="shared" si="9"/>
        <v>0</v>
      </c>
      <c r="K83" s="300" t="s">
        <v>129</v>
      </c>
    </row>
    <row r="84" spans="1:11" ht="63">
      <c r="A84" s="104" t="s">
        <v>46</v>
      </c>
      <c r="B84" s="99" t="s">
        <v>119</v>
      </c>
      <c r="C84" s="100" t="s">
        <v>123</v>
      </c>
      <c r="D84" s="101">
        <f>9*8</f>
        <v>72</v>
      </c>
      <c r="E84" s="101">
        <v>200000</v>
      </c>
      <c r="F84" s="102">
        <f>D84*E84</f>
        <v>14400000</v>
      </c>
      <c r="G84" s="101">
        <f>9*8</f>
        <v>72</v>
      </c>
      <c r="H84" s="101">
        <v>200000</v>
      </c>
      <c r="I84" s="102">
        <f>G84*H84</f>
        <v>14400000</v>
      </c>
      <c r="J84" s="103">
        <f t="shared" si="9"/>
        <v>0</v>
      </c>
      <c r="K84" s="301"/>
    </row>
    <row r="85" spans="1:11" ht="63">
      <c r="A85" s="104" t="s">
        <v>46</v>
      </c>
      <c r="B85" s="99" t="s">
        <v>121</v>
      </c>
      <c r="C85" s="100" t="s">
        <v>123</v>
      </c>
      <c r="D85" s="101">
        <f>9*2</f>
        <v>18</v>
      </c>
      <c r="E85" s="101">
        <v>200000</v>
      </c>
      <c r="F85" s="102">
        <f>D85*E85</f>
        <v>3600000</v>
      </c>
      <c r="G85" s="101">
        <f>9*2</f>
        <v>18</v>
      </c>
      <c r="H85" s="101">
        <v>200000</v>
      </c>
      <c r="I85" s="102">
        <f>G85*H85</f>
        <v>3600000</v>
      </c>
      <c r="J85" s="103">
        <f t="shared" si="9"/>
        <v>0</v>
      </c>
      <c r="K85" s="301"/>
    </row>
    <row r="86" spans="1:11" ht="47.25">
      <c r="A86" s="104" t="s">
        <v>46</v>
      </c>
      <c r="B86" s="99" t="s">
        <v>122</v>
      </c>
      <c r="C86" s="100" t="s">
        <v>123</v>
      </c>
      <c r="D86" s="101">
        <f>4*3</f>
        <v>12</v>
      </c>
      <c r="E86" s="101">
        <v>200000</v>
      </c>
      <c r="F86" s="102">
        <f>D86*E86</f>
        <v>2400000</v>
      </c>
      <c r="G86" s="101">
        <f>4*3</f>
        <v>12</v>
      </c>
      <c r="H86" s="101">
        <v>200000</v>
      </c>
      <c r="I86" s="102">
        <f>G86*H86</f>
        <v>2400000</v>
      </c>
      <c r="J86" s="103">
        <f t="shared" si="9"/>
        <v>0</v>
      </c>
      <c r="K86" s="301"/>
    </row>
    <row r="87" spans="1:11" ht="110.25">
      <c r="A87" s="93" t="s">
        <v>130</v>
      </c>
      <c r="B87" s="105" t="s">
        <v>131</v>
      </c>
      <c r="C87" s="82" t="s">
        <v>132</v>
      </c>
      <c r="D87" s="106">
        <v>12953</v>
      </c>
      <c r="E87" s="106">
        <v>60000</v>
      </c>
      <c r="F87" s="90">
        <f>D87*E87</f>
        <v>777180000</v>
      </c>
      <c r="G87" s="107"/>
      <c r="H87" s="107"/>
      <c r="I87" s="107">
        <f>+I88+I89</f>
        <v>612000000</v>
      </c>
      <c r="J87" s="69">
        <f t="shared" si="9"/>
        <v>-165180000</v>
      </c>
      <c r="K87" s="304" t="s">
        <v>133</v>
      </c>
    </row>
    <row r="88" spans="1:11" ht="47.25">
      <c r="A88" s="104" t="s">
        <v>46</v>
      </c>
      <c r="B88" s="108" t="s">
        <v>134</v>
      </c>
      <c r="C88" s="100" t="s">
        <v>135</v>
      </c>
      <c r="D88" s="109"/>
      <c r="E88" s="109"/>
      <c r="F88" s="110"/>
      <c r="G88" s="111">
        <f>10*9</f>
        <v>90</v>
      </c>
      <c r="H88" s="111">
        <v>6000000</v>
      </c>
      <c r="I88" s="111">
        <f>+G88*H88</f>
        <v>540000000</v>
      </c>
      <c r="J88" s="69">
        <f t="shared" si="9"/>
        <v>540000000</v>
      </c>
      <c r="K88" s="304"/>
    </row>
    <row r="89" spans="1:11" s="87" customFormat="1" ht="47.25">
      <c r="A89" s="104" t="s">
        <v>46</v>
      </c>
      <c r="B89" s="108" t="s">
        <v>136</v>
      </c>
      <c r="C89" s="100" t="s">
        <v>135</v>
      </c>
      <c r="D89" s="109"/>
      <c r="E89" s="109"/>
      <c r="F89" s="110"/>
      <c r="G89" s="111">
        <f>3*4</f>
        <v>12</v>
      </c>
      <c r="H89" s="111">
        <v>6000000</v>
      </c>
      <c r="I89" s="111">
        <f>+G89*H89</f>
        <v>72000000</v>
      </c>
      <c r="J89" s="69">
        <f t="shared" si="9"/>
        <v>72000000</v>
      </c>
      <c r="K89" s="304"/>
    </row>
    <row r="90" spans="1:11">
      <c r="A90" s="93" t="s">
        <v>137</v>
      </c>
      <c r="B90" s="112" t="s">
        <v>138</v>
      </c>
      <c r="C90" s="82"/>
      <c r="D90" s="76"/>
      <c r="E90" s="76"/>
      <c r="F90" s="83">
        <f>+F91+F92</f>
        <v>14000000</v>
      </c>
      <c r="G90" s="76"/>
      <c r="H90" s="76"/>
      <c r="I90" s="95">
        <f>+I91+I92</f>
        <v>4023000</v>
      </c>
      <c r="J90" s="69">
        <f t="shared" si="9"/>
        <v>-9977000</v>
      </c>
      <c r="K90" s="300" t="s">
        <v>139</v>
      </c>
    </row>
    <row r="91" spans="1:11" s="87" customFormat="1" ht="94.5">
      <c r="A91" s="104" t="s">
        <v>46</v>
      </c>
      <c r="B91" s="113" t="s">
        <v>140</v>
      </c>
      <c r="C91" s="114" t="s">
        <v>105</v>
      </c>
      <c r="D91" s="101">
        <v>10</v>
      </c>
      <c r="E91" s="101">
        <v>1000000</v>
      </c>
      <c r="F91" s="102">
        <f>D91*E91</f>
        <v>10000000</v>
      </c>
      <c r="G91" s="101">
        <v>10</v>
      </c>
      <c r="H91" s="101">
        <f>0.15*1490000</f>
        <v>223500</v>
      </c>
      <c r="I91" s="102">
        <f>G91*H91</f>
        <v>2235000</v>
      </c>
      <c r="J91" s="103">
        <f t="shared" si="9"/>
        <v>-7765000</v>
      </c>
      <c r="K91" s="300"/>
    </row>
    <row r="92" spans="1:11" s="87" customFormat="1" ht="78.75">
      <c r="A92" s="104" t="s">
        <v>46</v>
      </c>
      <c r="B92" s="113" t="s">
        <v>141</v>
      </c>
      <c r="C92" s="114" t="s">
        <v>142</v>
      </c>
      <c r="D92" s="101">
        <v>4</v>
      </c>
      <c r="E92" s="101">
        <v>1000000</v>
      </c>
      <c r="F92" s="102">
        <f>D92*E92</f>
        <v>4000000</v>
      </c>
      <c r="G92" s="101">
        <v>4</v>
      </c>
      <c r="H92" s="101">
        <f>H91*2</f>
        <v>447000</v>
      </c>
      <c r="I92" s="102">
        <f>G92*H92</f>
        <v>1788000</v>
      </c>
      <c r="J92" s="103">
        <f t="shared" si="9"/>
        <v>-2212000</v>
      </c>
      <c r="K92" s="300"/>
    </row>
    <row r="93" spans="1:11">
      <c r="A93" s="150" t="s">
        <v>143</v>
      </c>
      <c r="B93" s="151" t="s">
        <v>144</v>
      </c>
      <c r="C93" s="82"/>
      <c r="D93" s="90"/>
      <c r="E93" s="90"/>
      <c r="F93" s="161">
        <f>F94+F105+F109</f>
        <v>1655102500</v>
      </c>
      <c r="G93" s="161"/>
      <c r="H93" s="161"/>
      <c r="I93" s="161">
        <f>+I94+I105+I109</f>
        <v>1648178500</v>
      </c>
      <c r="J93" s="89">
        <f t="shared" si="9"/>
        <v>-6924000</v>
      </c>
      <c r="K93" s="80"/>
    </row>
    <row r="94" spans="1:11" ht="31.5">
      <c r="A94" s="60">
        <v>1</v>
      </c>
      <c r="B94" s="61" t="s">
        <v>145</v>
      </c>
      <c r="C94" s="162"/>
      <c r="D94" s="37"/>
      <c r="E94" s="37"/>
      <c r="F94" s="37">
        <f>SUM(F96:F104)</f>
        <v>18330000</v>
      </c>
      <c r="G94" s="120"/>
      <c r="H94" s="120"/>
      <c r="I94" s="120">
        <f>SUM(I95:I104)</f>
        <v>12300000</v>
      </c>
      <c r="J94" s="69">
        <f t="shared" si="9"/>
        <v>-6030000</v>
      </c>
      <c r="K94" s="74" t="s">
        <v>71</v>
      </c>
    </row>
    <row r="95" spans="1:11">
      <c r="A95" s="81" t="s">
        <v>146</v>
      </c>
      <c r="B95" s="66" t="s">
        <v>147</v>
      </c>
      <c r="C95" s="115"/>
      <c r="D95" s="116"/>
      <c r="E95" s="116"/>
      <c r="F95" s="117"/>
      <c r="G95" s="118"/>
      <c r="H95" s="118"/>
      <c r="I95" s="118"/>
      <c r="J95" s="69">
        <f t="shared" si="9"/>
        <v>0</v>
      </c>
      <c r="K95" s="301" t="s">
        <v>74</v>
      </c>
    </row>
    <row r="96" spans="1:11">
      <c r="A96" s="81" t="s">
        <v>46</v>
      </c>
      <c r="B96" s="119" t="s">
        <v>72</v>
      </c>
      <c r="C96" s="115" t="s">
        <v>73</v>
      </c>
      <c r="D96" s="116">
        <v>1</v>
      </c>
      <c r="E96" s="116">
        <v>750000</v>
      </c>
      <c r="F96" s="117">
        <f>E96*D96</f>
        <v>750000</v>
      </c>
      <c r="G96" s="116"/>
      <c r="H96" s="116"/>
      <c r="I96" s="117">
        <f>H96*G96</f>
        <v>0</v>
      </c>
      <c r="J96" s="69">
        <f t="shared" si="9"/>
        <v>-750000</v>
      </c>
      <c r="K96" s="301"/>
    </row>
    <row r="97" spans="1:11">
      <c r="A97" s="81" t="s">
        <v>46</v>
      </c>
      <c r="B97" s="119" t="s">
        <v>75</v>
      </c>
      <c r="C97" s="115" t="s">
        <v>73</v>
      </c>
      <c r="D97" s="116">
        <v>1</v>
      </c>
      <c r="E97" s="116">
        <v>130000</v>
      </c>
      <c r="F97" s="117">
        <f>E97*D97</f>
        <v>130000</v>
      </c>
      <c r="G97" s="116"/>
      <c r="H97" s="116"/>
      <c r="I97" s="117">
        <f>H97*G97</f>
        <v>0</v>
      </c>
      <c r="J97" s="69">
        <f t="shared" si="9"/>
        <v>-130000</v>
      </c>
      <c r="K97" s="301"/>
    </row>
    <row r="98" spans="1:11" ht="31.5">
      <c r="A98" s="81" t="s">
        <v>148</v>
      </c>
      <c r="B98" s="66" t="s">
        <v>76</v>
      </c>
      <c r="C98" s="115" t="s">
        <v>77</v>
      </c>
      <c r="D98" s="116">
        <v>25</v>
      </c>
      <c r="E98" s="116">
        <v>40000</v>
      </c>
      <c r="F98" s="117">
        <f>E98*D98</f>
        <v>1000000</v>
      </c>
      <c r="G98" s="116">
        <v>25</v>
      </c>
      <c r="H98" s="116">
        <v>40000</v>
      </c>
      <c r="I98" s="117">
        <f>H98*G98</f>
        <v>1000000</v>
      </c>
      <c r="J98" s="69">
        <f t="shared" si="9"/>
        <v>0</v>
      </c>
      <c r="K98" s="163" t="s">
        <v>412</v>
      </c>
    </row>
    <row r="99" spans="1:11">
      <c r="A99" s="81" t="s">
        <v>149</v>
      </c>
      <c r="B99" s="66" t="s">
        <v>150</v>
      </c>
      <c r="C99" s="115"/>
      <c r="D99" s="116"/>
      <c r="E99" s="116"/>
      <c r="F99" s="117"/>
      <c r="G99" s="116"/>
      <c r="H99" s="116"/>
      <c r="I99" s="117"/>
      <c r="J99" s="69">
        <f t="shared" si="9"/>
        <v>0</v>
      </c>
      <c r="K99" s="74"/>
    </row>
    <row r="100" spans="1:11" ht="31.5">
      <c r="A100" s="81" t="s">
        <v>46</v>
      </c>
      <c r="B100" s="119" t="s">
        <v>151</v>
      </c>
      <c r="C100" s="115" t="s">
        <v>48</v>
      </c>
      <c r="D100" s="116">
        <v>1</v>
      </c>
      <c r="E100" s="116">
        <v>1200000</v>
      </c>
      <c r="F100" s="117">
        <f>E100*D100</f>
        <v>1200000</v>
      </c>
      <c r="G100" s="116">
        <v>2</v>
      </c>
      <c r="H100" s="116">
        <v>200000</v>
      </c>
      <c r="I100" s="117">
        <f>H100*G100</f>
        <v>400000</v>
      </c>
      <c r="J100" s="69">
        <f t="shared" si="9"/>
        <v>-800000</v>
      </c>
      <c r="K100" s="74" t="s">
        <v>411</v>
      </c>
    </row>
    <row r="101" spans="1:11">
      <c r="A101" s="81" t="s">
        <v>46</v>
      </c>
      <c r="B101" s="119" t="s">
        <v>79</v>
      </c>
      <c r="C101" s="115" t="s">
        <v>52</v>
      </c>
      <c r="D101" s="116">
        <v>1</v>
      </c>
      <c r="E101" s="116">
        <v>2500000</v>
      </c>
      <c r="F101" s="117">
        <f>E101*D101</f>
        <v>2500000</v>
      </c>
      <c r="G101" s="116">
        <v>1</v>
      </c>
      <c r="H101" s="116">
        <v>2500000</v>
      </c>
      <c r="I101" s="117">
        <f>H101*G101</f>
        <v>2500000</v>
      </c>
      <c r="J101" s="69">
        <f t="shared" si="9"/>
        <v>0</v>
      </c>
      <c r="K101" s="94" t="s">
        <v>80</v>
      </c>
    </row>
    <row r="102" spans="1:11" s="87" customFormat="1" ht="83.25" customHeight="1">
      <c r="A102" s="81" t="s">
        <v>46</v>
      </c>
      <c r="B102" s="119" t="s">
        <v>55</v>
      </c>
      <c r="C102" s="115" t="s">
        <v>56</v>
      </c>
      <c r="D102" s="116">
        <v>550</v>
      </c>
      <c r="E102" s="116">
        <v>15000</v>
      </c>
      <c r="F102" s="117">
        <f>E102*D102</f>
        <v>8250000</v>
      </c>
      <c r="G102" s="116">
        <v>550</v>
      </c>
      <c r="H102" s="116">
        <v>10000</v>
      </c>
      <c r="I102" s="117">
        <f>H102*G102</f>
        <v>5500000</v>
      </c>
      <c r="J102" s="69">
        <f t="shared" si="9"/>
        <v>-2750000</v>
      </c>
      <c r="K102" s="94" t="s">
        <v>152</v>
      </c>
    </row>
    <row r="103" spans="1:11">
      <c r="A103" s="81" t="s">
        <v>46</v>
      </c>
      <c r="B103" s="119" t="s">
        <v>153</v>
      </c>
      <c r="C103" s="115" t="s">
        <v>105</v>
      </c>
      <c r="D103" s="116">
        <v>50</v>
      </c>
      <c r="E103" s="116">
        <v>80000</v>
      </c>
      <c r="F103" s="117">
        <f>E103*D103</f>
        <v>4000000</v>
      </c>
      <c r="G103" s="116">
        <v>30</v>
      </c>
      <c r="H103" s="116">
        <v>80000</v>
      </c>
      <c r="I103" s="117">
        <f>H103*G103</f>
        <v>2400000</v>
      </c>
      <c r="J103" s="69">
        <f t="shared" si="9"/>
        <v>-1600000</v>
      </c>
      <c r="K103" s="301" t="s">
        <v>413</v>
      </c>
    </row>
    <row r="104" spans="1:11">
      <c r="A104" s="81" t="s">
        <v>46</v>
      </c>
      <c r="B104" s="119" t="s">
        <v>154</v>
      </c>
      <c r="C104" s="115" t="s">
        <v>105</v>
      </c>
      <c r="D104" s="116">
        <v>1</v>
      </c>
      <c r="E104" s="116">
        <v>500000</v>
      </c>
      <c r="F104" s="117">
        <f>E104*D104</f>
        <v>500000</v>
      </c>
      <c r="G104" s="116">
        <v>1</v>
      </c>
      <c r="H104" s="116">
        <v>500000</v>
      </c>
      <c r="I104" s="117">
        <f>H104*G104</f>
        <v>500000</v>
      </c>
      <c r="J104" s="69">
        <f t="shared" si="9"/>
        <v>0</v>
      </c>
      <c r="K104" s="301"/>
    </row>
    <row r="105" spans="1:11" ht="78.75">
      <c r="A105" s="60">
        <v>2</v>
      </c>
      <c r="B105" s="61" t="s">
        <v>87</v>
      </c>
      <c r="C105" s="115"/>
      <c r="D105" s="37"/>
      <c r="E105" s="37"/>
      <c r="F105" s="37">
        <f>SUM(F106:F108)</f>
        <v>96650000</v>
      </c>
      <c r="G105" s="120"/>
      <c r="H105" s="120"/>
      <c r="I105" s="120">
        <f>+I106+I107+I108</f>
        <v>96650000</v>
      </c>
      <c r="J105" s="69">
        <f t="shared" si="9"/>
        <v>0</v>
      </c>
      <c r="K105" s="300" t="s">
        <v>155</v>
      </c>
    </row>
    <row r="106" spans="1:11" ht="31.5">
      <c r="A106" s="81" t="s">
        <v>46</v>
      </c>
      <c r="B106" s="66" t="s">
        <v>89</v>
      </c>
      <c r="C106" s="115" t="s">
        <v>156</v>
      </c>
      <c r="D106" s="116">
        <v>7732</v>
      </c>
      <c r="E106" s="116">
        <v>10000</v>
      </c>
      <c r="F106" s="121">
        <f>E106*D106</f>
        <v>77320000</v>
      </c>
      <c r="G106" s="116">
        <v>7732</v>
      </c>
      <c r="H106" s="116">
        <v>10000</v>
      </c>
      <c r="I106" s="122">
        <f>G106*H106</f>
        <v>77320000</v>
      </c>
      <c r="J106" s="69">
        <f t="shared" si="9"/>
        <v>0</v>
      </c>
      <c r="K106" s="300"/>
    </row>
    <row r="107" spans="1:11" ht="31.5">
      <c r="A107" s="81" t="s">
        <v>46</v>
      </c>
      <c r="B107" s="66" t="s">
        <v>91</v>
      </c>
      <c r="C107" s="115" t="s">
        <v>156</v>
      </c>
      <c r="D107" s="116">
        <v>7732</v>
      </c>
      <c r="E107" s="116">
        <v>1500</v>
      </c>
      <c r="F107" s="121">
        <f>E107*D107</f>
        <v>11598000</v>
      </c>
      <c r="G107" s="116">
        <v>7732</v>
      </c>
      <c r="H107" s="116">
        <v>1500</v>
      </c>
      <c r="I107" s="122">
        <f>G107*H107</f>
        <v>11598000</v>
      </c>
      <c r="J107" s="69">
        <f t="shared" si="9"/>
        <v>0</v>
      </c>
      <c r="K107" s="300"/>
    </row>
    <row r="108" spans="1:11" ht="31.5">
      <c r="A108" s="81" t="s">
        <v>46</v>
      </c>
      <c r="B108" s="66" t="s">
        <v>92</v>
      </c>
      <c r="C108" s="115" t="s">
        <v>156</v>
      </c>
      <c r="D108" s="116">
        <v>7732</v>
      </c>
      <c r="E108" s="116">
        <v>1000</v>
      </c>
      <c r="F108" s="121">
        <f>E108*D108</f>
        <v>7732000</v>
      </c>
      <c r="G108" s="116">
        <v>7732</v>
      </c>
      <c r="H108" s="116">
        <v>1000</v>
      </c>
      <c r="I108" s="122">
        <f>G108*H108</f>
        <v>7732000</v>
      </c>
      <c r="J108" s="69">
        <f t="shared" si="9"/>
        <v>0</v>
      </c>
      <c r="K108" s="300"/>
    </row>
    <row r="109" spans="1:11" ht="31.5">
      <c r="A109" s="60">
        <v>3</v>
      </c>
      <c r="B109" s="61" t="s">
        <v>114</v>
      </c>
      <c r="C109" s="115"/>
      <c r="D109" s="37"/>
      <c r="E109" s="37"/>
      <c r="F109" s="37">
        <f>SUM(F110:F115)</f>
        <v>1540122500</v>
      </c>
      <c r="G109" s="120"/>
      <c r="H109" s="120"/>
      <c r="I109" s="120">
        <f>SUM(I110:I115)</f>
        <v>1539228500</v>
      </c>
      <c r="J109" s="69">
        <f t="shared" si="9"/>
        <v>-894000</v>
      </c>
      <c r="K109" s="123" t="s">
        <v>157</v>
      </c>
    </row>
    <row r="110" spans="1:11" ht="31.5">
      <c r="A110" s="81" t="s">
        <v>46</v>
      </c>
      <c r="B110" s="66" t="s">
        <v>158</v>
      </c>
      <c r="C110" s="115" t="s">
        <v>159</v>
      </c>
      <c r="D110" s="116">
        <v>25</v>
      </c>
      <c r="E110" s="116">
        <v>900000</v>
      </c>
      <c r="F110" s="121">
        <f t="shared" ref="F110:F115" si="10">E110*D110</f>
        <v>22500000</v>
      </c>
      <c r="G110" s="122">
        <v>25</v>
      </c>
      <c r="H110" s="122">
        <v>900000</v>
      </c>
      <c r="I110" s="122">
        <f t="shared" ref="I110:I115" si="11">G110*H110</f>
        <v>22500000</v>
      </c>
      <c r="J110" s="69">
        <f t="shared" si="9"/>
        <v>0</v>
      </c>
      <c r="K110" s="123" t="s">
        <v>160</v>
      </c>
    </row>
    <row r="111" spans="1:11" ht="47.25">
      <c r="A111" s="81" t="s">
        <v>46</v>
      </c>
      <c r="B111" s="66" t="s">
        <v>161</v>
      </c>
      <c r="C111" s="115" t="s">
        <v>105</v>
      </c>
      <c r="D111" s="116">
        <v>574</v>
      </c>
      <c r="E111" s="116">
        <v>200000</v>
      </c>
      <c r="F111" s="121">
        <f t="shared" si="10"/>
        <v>114800000</v>
      </c>
      <c r="G111" s="122">
        <v>574</v>
      </c>
      <c r="H111" s="122">
        <v>200000</v>
      </c>
      <c r="I111" s="122">
        <f t="shared" si="11"/>
        <v>114800000</v>
      </c>
      <c r="J111" s="69">
        <f t="shared" si="9"/>
        <v>0</v>
      </c>
      <c r="K111" s="123" t="s">
        <v>162</v>
      </c>
    </row>
    <row r="112" spans="1:11" ht="47.25">
      <c r="A112" s="81" t="s">
        <v>46</v>
      </c>
      <c r="B112" s="66" t="s">
        <v>163</v>
      </c>
      <c r="C112" s="115" t="s">
        <v>164</v>
      </c>
      <c r="D112" s="116">
        <v>25</v>
      </c>
      <c r="E112" s="116">
        <v>1800000</v>
      </c>
      <c r="F112" s="121">
        <f t="shared" si="10"/>
        <v>45000000</v>
      </c>
      <c r="G112" s="122">
        <f>25*9</f>
        <v>225</v>
      </c>
      <c r="H112" s="122">
        <v>200000</v>
      </c>
      <c r="I112" s="122">
        <f t="shared" si="11"/>
        <v>45000000</v>
      </c>
      <c r="J112" s="69">
        <f t="shared" si="9"/>
        <v>0</v>
      </c>
      <c r="K112" s="124" t="s">
        <v>165</v>
      </c>
    </row>
    <row r="113" spans="1:11" ht="94.5">
      <c r="A113" s="81" t="s">
        <v>46</v>
      </c>
      <c r="B113" s="66" t="s">
        <v>166</v>
      </c>
      <c r="C113" s="115"/>
      <c r="D113" s="116">
        <v>225</v>
      </c>
      <c r="E113" s="116">
        <v>6000000</v>
      </c>
      <c r="F113" s="121">
        <f t="shared" si="10"/>
        <v>1350000000</v>
      </c>
      <c r="G113" s="116">
        <f>25*9</f>
        <v>225</v>
      </c>
      <c r="H113" s="122">
        <v>6000000</v>
      </c>
      <c r="I113" s="122">
        <f t="shared" si="11"/>
        <v>1350000000</v>
      </c>
      <c r="J113" s="69">
        <f t="shared" si="9"/>
        <v>0</v>
      </c>
      <c r="K113" s="124" t="s">
        <v>167</v>
      </c>
    </row>
    <row r="114" spans="1:11" ht="63">
      <c r="A114" s="81" t="s">
        <v>46</v>
      </c>
      <c r="B114" s="112" t="s">
        <v>168</v>
      </c>
      <c r="C114" s="115" t="s">
        <v>105</v>
      </c>
      <c r="D114" s="116">
        <v>29</v>
      </c>
      <c r="E114" s="116">
        <f>0.15*1490000</f>
        <v>223500</v>
      </c>
      <c r="F114" s="121">
        <f t="shared" si="10"/>
        <v>6481500</v>
      </c>
      <c r="G114" s="122">
        <v>25</v>
      </c>
      <c r="H114" s="116">
        <f>0.15*1490000</f>
        <v>223500</v>
      </c>
      <c r="I114" s="122">
        <f t="shared" si="11"/>
        <v>5587500</v>
      </c>
      <c r="J114" s="69">
        <f t="shared" si="9"/>
        <v>-894000</v>
      </c>
      <c r="K114" s="305" t="s">
        <v>169</v>
      </c>
    </row>
    <row r="115" spans="1:11" ht="78.75">
      <c r="A115" s="81" t="s">
        <v>46</v>
      </c>
      <c r="B115" s="112" t="s">
        <v>170</v>
      </c>
      <c r="C115" s="115" t="s">
        <v>142</v>
      </c>
      <c r="D115" s="116">
        <v>3</v>
      </c>
      <c r="E115" s="116">
        <f>E114*2</f>
        <v>447000</v>
      </c>
      <c r="F115" s="121">
        <f t="shared" si="10"/>
        <v>1341000</v>
      </c>
      <c r="G115" s="122">
        <v>3</v>
      </c>
      <c r="H115" s="116">
        <f>H114*2</f>
        <v>447000</v>
      </c>
      <c r="I115" s="122">
        <f t="shared" si="11"/>
        <v>1341000</v>
      </c>
      <c r="J115" s="122">
        <f t="shared" si="9"/>
        <v>0</v>
      </c>
      <c r="K115" s="305"/>
    </row>
    <row r="116" spans="1:11">
      <c r="A116" s="150" t="s">
        <v>171</v>
      </c>
      <c r="B116" s="151" t="s">
        <v>172</v>
      </c>
      <c r="C116" s="82"/>
      <c r="D116" s="76"/>
      <c r="E116" s="76"/>
      <c r="F116" s="96">
        <f>+F117+F122</f>
        <v>118712500</v>
      </c>
      <c r="G116" s="126"/>
      <c r="H116" s="126"/>
      <c r="I116" s="96">
        <f>+I117+I122</f>
        <v>116612500</v>
      </c>
      <c r="J116" s="96">
        <f>+J117+J122</f>
        <v>-2100000</v>
      </c>
      <c r="K116" s="80"/>
    </row>
    <row r="117" spans="1:11" ht="31.5">
      <c r="A117" s="60">
        <v>1</v>
      </c>
      <c r="B117" s="61" t="s">
        <v>70</v>
      </c>
      <c r="C117" s="82"/>
      <c r="D117" s="76"/>
      <c r="E117" s="76"/>
      <c r="F117" s="96">
        <f>SUM(F118:F121)</f>
        <v>7050000</v>
      </c>
      <c r="G117" s="76"/>
      <c r="H117" s="76"/>
      <c r="I117" s="96">
        <f>SUM(I118:I121)</f>
        <v>4950000</v>
      </c>
      <c r="J117" s="89">
        <f t="shared" ref="J117:J147" si="12">I117-F117</f>
        <v>-2100000</v>
      </c>
      <c r="K117" s="80"/>
    </row>
    <row r="118" spans="1:11">
      <c r="A118" s="81" t="s">
        <v>46</v>
      </c>
      <c r="B118" s="66" t="s">
        <v>173</v>
      </c>
      <c r="C118" s="82" t="s">
        <v>105</v>
      </c>
      <c r="D118" s="76">
        <v>50</v>
      </c>
      <c r="E118" s="76">
        <v>80000</v>
      </c>
      <c r="F118" s="83">
        <f>D118*E118</f>
        <v>4000000</v>
      </c>
      <c r="G118" s="76">
        <v>30</v>
      </c>
      <c r="H118" s="76">
        <v>80000</v>
      </c>
      <c r="I118" s="83">
        <f>G118*H118</f>
        <v>2400000</v>
      </c>
      <c r="J118" s="69">
        <f t="shared" si="12"/>
        <v>-1600000</v>
      </c>
      <c r="K118" s="300" t="s">
        <v>174</v>
      </c>
    </row>
    <row r="119" spans="1:11">
      <c r="A119" s="81" t="s">
        <v>46</v>
      </c>
      <c r="B119" s="66" t="s">
        <v>175</v>
      </c>
      <c r="C119" s="82" t="s">
        <v>100</v>
      </c>
      <c r="D119" s="76">
        <v>1</v>
      </c>
      <c r="E119" s="76">
        <v>1500000</v>
      </c>
      <c r="F119" s="83">
        <f>D119*E119</f>
        <v>1500000</v>
      </c>
      <c r="G119" s="76">
        <v>1</v>
      </c>
      <c r="H119" s="76">
        <v>1000000</v>
      </c>
      <c r="I119" s="83">
        <f>G119*H119</f>
        <v>1000000</v>
      </c>
      <c r="J119" s="69">
        <f t="shared" si="12"/>
        <v>-500000</v>
      </c>
      <c r="K119" s="301"/>
    </row>
    <row r="120" spans="1:11">
      <c r="A120" s="81" t="s">
        <v>46</v>
      </c>
      <c r="B120" s="66" t="s">
        <v>99</v>
      </c>
      <c r="C120" s="82" t="s">
        <v>100</v>
      </c>
      <c r="D120" s="76">
        <v>3</v>
      </c>
      <c r="E120" s="76">
        <v>350000</v>
      </c>
      <c r="F120" s="83">
        <f>D120*E120</f>
        <v>1050000</v>
      </c>
      <c r="G120" s="76">
        <v>3</v>
      </c>
      <c r="H120" s="76">
        <v>350000</v>
      </c>
      <c r="I120" s="83">
        <f>G120*H120</f>
        <v>1050000</v>
      </c>
      <c r="J120" s="69">
        <f t="shared" si="12"/>
        <v>0</v>
      </c>
      <c r="K120" s="301"/>
    </row>
    <row r="121" spans="1:11">
      <c r="A121" s="81" t="s">
        <v>46</v>
      </c>
      <c r="B121" s="66" t="s">
        <v>176</v>
      </c>
      <c r="C121" s="82"/>
      <c r="D121" s="76"/>
      <c r="E121" s="76"/>
      <c r="F121" s="83">
        <v>500000</v>
      </c>
      <c r="G121" s="76"/>
      <c r="H121" s="76"/>
      <c r="I121" s="83">
        <v>500000</v>
      </c>
      <c r="J121" s="69">
        <f t="shared" si="12"/>
        <v>0</v>
      </c>
      <c r="K121" s="301"/>
    </row>
    <row r="122" spans="1:11" ht="78.75">
      <c r="A122" s="60">
        <v>2</v>
      </c>
      <c r="B122" s="91" t="s">
        <v>87</v>
      </c>
      <c r="C122" s="62"/>
      <c r="D122" s="63"/>
      <c r="E122" s="63"/>
      <c r="F122" s="63">
        <f>+F123+F124+F125</f>
        <v>111662500</v>
      </c>
      <c r="G122" s="63"/>
      <c r="H122" s="63"/>
      <c r="I122" s="63">
        <f>SUM(I123:I125)</f>
        <v>111662500</v>
      </c>
      <c r="J122" s="89">
        <f t="shared" si="12"/>
        <v>0</v>
      </c>
      <c r="K122" s="300" t="s">
        <v>177</v>
      </c>
    </row>
    <row r="123" spans="1:11" ht="31.5">
      <c r="A123" s="81" t="s">
        <v>46</v>
      </c>
      <c r="B123" s="66" t="s">
        <v>89</v>
      </c>
      <c r="C123" s="82" t="s">
        <v>90</v>
      </c>
      <c r="D123" s="76">
        <v>8933</v>
      </c>
      <c r="E123" s="76">
        <v>10000</v>
      </c>
      <c r="F123" s="83">
        <f>D123*E123</f>
        <v>89330000</v>
      </c>
      <c r="G123" s="76">
        <v>8933</v>
      </c>
      <c r="H123" s="76">
        <v>10000</v>
      </c>
      <c r="I123" s="83">
        <f>G123*H123</f>
        <v>89330000</v>
      </c>
      <c r="J123" s="69">
        <f t="shared" si="12"/>
        <v>0</v>
      </c>
      <c r="K123" s="300"/>
    </row>
    <row r="124" spans="1:11" ht="31.5">
      <c r="A124" s="81" t="s">
        <v>46</v>
      </c>
      <c r="B124" s="66" t="s">
        <v>91</v>
      </c>
      <c r="C124" s="82" t="s">
        <v>90</v>
      </c>
      <c r="D124" s="76">
        <v>8933</v>
      </c>
      <c r="E124" s="76">
        <v>1500</v>
      </c>
      <c r="F124" s="83">
        <f>D124*E124</f>
        <v>13399500</v>
      </c>
      <c r="G124" s="76">
        <v>8933</v>
      </c>
      <c r="H124" s="76">
        <v>1500</v>
      </c>
      <c r="I124" s="83">
        <f>G124*H124</f>
        <v>13399500</v>
      </c>
      <c r="J124" s="69">
        <f t="shared" si="12"/>
        <v>0</v>
      </c>
      <c r="K124" s="300"/>
    </row>
    <row r="125" spans="1:11" ht="31.5">
      <c r="A125" s="81" t="s">
        <v>46</v>
      </c>
      <c r="B125" s="66" t="s">
        <v>92</v>
      </c>
      <c r="C125" s="82" t="s">
        <v>90</v>
      </c>
      <c r="D125" s="76">
        <v>8933</v>
      </c>
      <c r="E125" s="76">
        <v>1000</v>
      </c>
      <c r="F125" s="83">
        <f>D125*E125</f>
        <v>8933000</v>
      </c>
      <c r="G125" s="76">
        <v>8933</v>
      </c>
      <c r="H125" s="76">
        <v>1000</v>
      </c>
      <c r="I125" s="83">
        <f>G125*H125</f>
        <v>8933000</v>
      </c>
      <c r="J125" s="69">
        <f t="shared" si="12"/>
        <v>0</v>
      </c>
      <c r="K125" s="300"/>
    </row>
    <row r="126" spans="1:11">
      <c r="A126" s="150" t="s">
        <v>178</v>
      </c>
      <c r="B126" s="151" t="s">
        <v>179</v>
      </c>
      <c r="C126" s="156"/>
      <c r="D126" s="157"/>
      <c r="E126" s="157"/>
      <c r="F126" s="158">
        <f>+F127+F132</f>
        <v>175800000</v>
      </c>
      <c r="G126" s="158"/>
      <c r="H126" s="158"/>
      <c r="I126" s="158">
        <f>+I127+I132</f>
        <v>173700000</v>
      </c>
      <c r="J126" s="89">
        <f t="shared" si="12"/>
        <v>-2100000</v>
      </c>
      <c r="K126" s="159"/>
    </row>
    <row r="127" spans="1:11" ht="31.5">
      <c r="A127" s="60">
        <v>1</v>
      </c>
      <c r="B127" s="61" t="s">
        <v>180</v>
      </c>
      <c r="C127" s="82"/>
      <c r="D127" s="76"/>
      <c r="E127" s="76"/>
      <c r="F127" s="96">
        <f>SUM(F128:F131)</f>
        <v>6925000</v>
      </c>
      <c r="G127" s="126"/>
      <c r="H127" s="126"/>
      <c r="I127" s="96">
        <f>SUM(I128:I131)</f>
        <v>4825000</v>
      </c>
      <c r="J127" s="89">
        <f t="shared" si="12"/>
        <v>-2100000</v>
      </c>
      <c r="K127" s="300" t="s">
        <v>181</v>
      </c>
    </row>
    <row r="128" spans="1:11">
      <c r="A128" s="81" t="s">
        <v>46</v>
      </c>
      <c r="B128" s="66" t="s">
        <v>95</v>
      </c>
      <c r="C128" s="82" t="s">
        <v>105</v>
      </c>
      <c r="D128" s="76">
        <v>50</v>
      </c>
      <c r="E128" s="76">
        <v>80000</v>
      </c>
      <c r="F128" s="83">
        <f>D128*E128</f>
        <v>4000000</v>
      </c>
      <c r="G128" s="76">
        <v>30</v>
      </c>
      <c r="H128" s="76">
        <v>80000</v>
      </c>
      <c r="I128" s="83">
        <f>G128*H128</f>
        <v>2400000</v>
      </c>
      <c r="J128" s="69">
        <f t="shared" si="12"/>
        <v>-1600000</v>
      </c>
      <c r="K128" s="300"/>
    </row>
    <row r="129" spans="1:11">
      <c r="A129" s="81" t="s">
        <v>46</v>
      </c>
      <c r="B129" s="66" t="s">
        <v>175</v>
      </c>
      <c r="C129" s="82" t="s">
        <v>100</v>
      </c>
      <c r="D129" s="76">
        <v>1</v>
      </c>
      <c r="E129" s="76">
        <v>1500000</v>
      </c>
      <c r="F129" s="83">
        <f>D129*E129</f>
        <v>1500000</v>
      </c>
      <c r="G129" s="76">
        <v>1</v>
      </c>
      <c r="H129" s="76">
        <v>1000000</v>
      </c>
      <c r="I129" s="83">
        <f>G129*H129</f>
        <v>1000000</v>
      </c>
      <c r="J129" s="69">
        <f t="shared" si="12"/>
        <v>-500000</v>
      </c>
      <c r="K129" s="300"/>
    </row>
    <row r="130" spans="1:11">
      <c r="A130" s="81" t="s">
        <v>46</v>
      </c>
      <c r="B130" s="66" t="s">
        <v>99</v>
      </c>
      <c r="C130" s="82" t="s">
        <v>100</v>
      </c>
      <c r="D130" s="76">
        <v>3</v>
      </c>
      <c r="E130" s="76">
        <v>350000</v>
      </c>
      <c r="F130" s="83">
        <f>D130*E130</f>
        <v>1050000</v>
      </c>
      <c r="G130" s="76">
        <v>3</v>
      </c>
      <c r="H130" s="76">
        <v>350000</v>
      </c>
      <c r="I130" s="83">
        <f>G130*H130</f>
        <v>1050000</v>
      </c>
      <c r="J130" s="69">
        <f t="shared" si="12"/>
        <v>0</v>
      </c>
      <c r="K130" s="300"/>
    </row>
    <row r="131" spans="1:11">
      <c r="A131" s="81" t="s">
        <v>46</v>
      </c>
      <c r="B131" s="66" t="s">
        <v>176</v>
      </c>
      <c r="C131" s="82"/>
      <c r="D131" s="76"/>
      <c r="E131" s="76"/>
      <c r="F131" s="83">
        <v>375000</v>
      </c>
      <c r="G131" s="76"/>
      <c r="H131" s="76"/>
      <c r="I131" s="83">
        <v>375000</v>
      </c>
      <c r="J131" s="69">
        <f t="shared" si="12"/>
        <v>0</v>
      </c>
      <c r="K131" s="300"/>
    </row>
    <row r="132" spans="1:11" ht="78.75">
      <c r="A132" s="60">
        <v>2</v>
      </c>
      <c r="B132" s="91" t="s">
        <v>87</v>
      </c>
      <c r="C132" s="82"/>
      <c r="D132" s="76"/>
      <c r="E132" s="76"/>
      <c r="F132" s="96">
        <f>+F133+F134+F135</f>
        <v>168875000</v>
      </c>
      <c r="G132" s="126"/>
      <c r="H132" s="126"/>
      <c r="I132" s="96">
        <f>I133+I134+I135</f>
        <v>168875000</v>
      </c>
      <c r="J132" s="89">
        <f t="shared" si="12"/>
        <v>0</v>
      </c>
      <c r="K132" s="300" t="s">
        <v>182</v>
      </c>
    </row>
    <row r="133" spans="1:11" ht="31.5">
      <c r="A133" s="81" t="s">
        <v>46</v>
      </c>
      <c r="B133" s="66" t="s">
        <v>89</v>
      </c>
      <c r="C133" s="82" t="s">
        <v>90</v>
      </c>
      <c r="D133" s="76">
        <v>13510</v>
      </c>
      <c r="E133" s="76">
        <v>10000</v>
      </c>
      <c r="F133" s="83">
        <f>E133*D133</f>
        <v>135100000</v>
      </c>
      <c r="G133" s="76">
        <v>13510</v>
      </c>
      <c r="H133" s="76">
        <v>10000</v>
      </c>
      <c r="I133" s="83">
        <f>H133*G133</f>
        <v>135100000</v>
      </c>
      <c r="J133" s="69">
        <f t="shared" si="12"/>
        <v>0</v>
      </c>
      <c r="K133" s="300"/>
    </row>
    <row r="134" spans="1:11" ht="31.5">
      <c r="A134" s="81" t="s">
        <v>46</v>
      </c>
      <c r="B134" s="66" t="s">
        <v>91</v>
      </c>
      <c r="C134" s="82" t="s">
        <v>90</v>
      </c>
      <c r="D134" s="76">
        <v>13510</v>
      </c>
      <c r="E134" s="76">
        <v>1500</v>
      </c>
      <c r="F134" s="83">
        <f>E134*D134</f>
        <v>20265000</v>
      </c>
      <c r="G134" s="76">
        <v>13510</v>
      </c>
      <c r="H134" s="76">
        <v>1500</v>
      </c>
      <c r="I134" s="83">
        <f>H134*G134</f>
        <v>20265000</v>
      </c>
      <c r="J134" s="69">
        <f t="shared" si="12"/>
        <v>0</v>
      </c>
      <c r="K134" s="300"/>
    </row>
    <row r="135" spans="1:11" ht="31.5">
      <c r="A135" s="81" t="s">
        <v>46</v>
      </c>
      <c r="B135" s="66" t="s">
        <v>92</v>
      </c>
      <c r="C135" s="82" t="s">
        <v>90</v>
      </c>
      <c r="D135" s="76">
        <v>13510</v>
      </c>
      <c r="E135" s="76">
        <v>1000</v>
      </c>
      <c r="F135" s="83">
        <f>E135*D135</f>
        <v>13510000</v>
      </c>
      <c r="G135" s="76">
        <v>13510</v>
      </c>
      <c r="H135" s="76">
        <v>1000</v>
      </c>
      <c r="I135" s="83">
        <f>H135*G135</f>
        <v>13510000</v>
      </c>
      <c r="J135" s="69">
        <f t="shared" si="12"/>
        <v>0</v>
      </c>
      <c r="K135" s="300"/>
    </row>
    <row r="136" spans="1:11">
      <c r="A136" s="150" t="s">
        <v>183</v>
      </c>
      <c r="B136" s="151" t="s">
        <v>184</v>
      </c>
      <c r="C136" s="82"/>
      <c r="D136" s="76"/>
      <c r="E136" s="76"/>
      <c r="F136" s="96">
        <f>F141+F137</f>
        <v>138087500</v>
      </c>
      <c r="G136" s="126"/>
      <c r="H136" s="126"/>
      <c r="I136" s="96">
        <f>I141+I137</f>
        <v>138087500</v>
      </c>
      <c r="J136" s="89">
        <f t="shared" si="12"/>
        <v>0</v>
      </c>
      <c r="K136" s="74"/>
    </row>
    <row r="137" spans="1:11" ht="47.25">
      <c r="A137" s="60">
        <v>1</v>
      </c>
      <c r="B137" s="159" t="s">
        <v>185</v>
      </c>
      <c r="C137" s="82"/>
      <c r="D137" s="76"/>
      <c r="E137" s="76"/>
      <c r="F137" s="96">
        <f>SUM(F138:F140)</f>
        <v>1800000</v>
      </c>
      <c r="G137" s="164"/>
      <c r="H137" s="164"/>
      <c r="I137" s="96">
        <f>SUM(I138:I140)</f>
        <v>1800000</v>
      </c>
      <c r="J137" s="89">
        <f t="shared" si="12"/>
        <v>0</v>
      </c>
      <c r="K137" s="300" t="s">
        <v>186</v>
      </c>
    </row>
    <row r="138" spans="1:11">
      <c r="A138" s="81" t="s">
        <v>46</v>
      </c>
      <c r="B138" s="127" t="s">
        <v>187</v>
      </c>
      <c r="C138" s="82" t="s">
        <v>100</v>
      </c>
      <c r="D138" s="76">
        <v>2</v>
      </c>
      <c r="E138" s="76">
        <v>350000</v>
      </c>
      <c r="F138" s="83">
        <f>D138*E138</f>
        <v>700000</v>
      </c>
      <c r="G138" s="76">
        <v>2</v>
      </c>
      <c r="H138" s="76">
        <v>350000</v>
      </c>
      <c r="I138" s="83">
        <f>G138*H138</f>
        <v>700000</v>
      </c>
      <c r="J138" s="69">
        <f t="shared" si="12"/>
        <v>0</v>
      </c>
      <c r="K138" s="301"/>
    </row>
    <row r="139" spans="1:11">
      <c r="A139" s="81" t="s">
        <v>46</v>
      </c>
      <c r="B139" s="127" t="s">
        <v>188</v>
      </c>
      <c r="C139" s="82" t="s">
        <v>100</v>
      </c>
      <c r="D139" s="76">
        <v>1</v>
      </c>
      <c r="E139" s="76">
        <v>300000</v>
      </c>
      <c r="F139" s="83">
        <f>D139*E139</f>
        <v>300000</v>
      </c>
      <c r="G139" s="76">
        <v>1</v>
      </c>
      <c r="H139" s="76">
        <v>300000</v>
      </c>
      <c r="I139" s="83">
        <f>G139*H139</f>
        <v>300000</v>
      </c>
      <c r="J139" s="69">
        <f t="shared" si="12"/>
        <v>0</v>
      </c>
      <c r="K139" s="301"/>
    </row>
    <row r="140" spans="1:11">
      <c r="A140" s="81" t="s">
        <v>46</v>
      </c>
      <c r="B140" s="127" t="s">
        <v>189</v>
      </c>
      <c r="C140" s="82" t="s">
        <v>100</v>
      </c>
      <c r="D140" s="76">
        <v>4</v>
      </c>
      <c r="E140" s="76">
        <v>200000</v>
      </c>
      <c r="F140" s="83">
        <f>D140*E140</f>
        <v>800000</v>
      </c>
      <c r="G140" s="76">
        <v>4</v>
      </c>
      <c r="H140" s="76">
        <v>200000</v>
      </c>
      <c r="I140" s="83">
        <f>G140*H140</f>
        <v>800000</v>
      </c>
      <c r="J140" s="69">
        <f t="shared" si="12"/>
        <v>0</v>
      </c>
      <c r="K140" s="301"/>
    </row>
    <row r="141" spans="1:11" ht="78.75">
      <c r="A141" s="60">
        <v>2</v>
      </c>
      <c r="B141" s="91" t="s">
        <v>87</v>
      </c>
      <c r="C141" s="62"/>
      <c r="D141" s="63"/>
      <c r="E141" s="63"/>
      <c r="F141" s="63">
        <f>SUM(F142:F144)</f>
        <v>136287500</v>
      </c>
      <c r="G141" s="63"/>
      <c r="H141" s="63"/>
      <c r="I141" s="63">
        <f>SUM(I142:I144)</f>
        <v>136287500</v>
      </c>
      <c r="J141" s="89">
        <f t="shared" si="12"/>
        <v>0</v>
      </c>
      <c r="K141" s="300" t="s">
        <v>190</v>
      </c>
    </row>
    <row r="142" spans="1:11" ht="31.5">
      <c r="A142" s="81" t="s">
        <v>191</v>
      </c>
      <c r="B142" s="66" t="s">
        <v>89</v>
      </c>
      <c r="C142" s="82" t="s">
        <v>90</v>
      </c>
      <c r="D142" s="76">
        <v>10903</v>
      </c>
      <c r="E142" s="76">
        <v>10000</v>
      </c>
      <c r="F142" s="83">
        <f>D142*E142</f>
        <v>109030000</v>
      </c>
      <c r="G142" s="76">
        <v>10903</v>
      </c>
      <c r="H142" s="76">
        <v>10000</v>
      </c>
      <c r="I142" s="83">
        <f>G142*H142</f>
        <v>109030000</v>
      </c>
      <c r="J142" s="69">
        <f t="shared" si="12"/>
        <v>0</v>
      </c>
      <c r="K142" s="300"/>
    </row>
    <row r="143" spans="1:11" ht="31.5">
      <c r="A143" s="81" t="s">
        <v>192</v>
      </c>
      <c r="B143" s="66" t="s">
        <v>91</v>
      </c>
      <c r="C143" s="82" t="s">
        <v>90</v>
      </c>
      <c r="D143" s="76">
        <v>10903</v>
      </c>
      <c r="E143" s="76">
        <v>1500</v>
      </c>
      <c r="F143" s="83">
        <f>D143*E143</f>
        <v>16354500</v>
      </c>
      <c r="G143" s="76">
        <v>10903</v>
      </c>
      <c r="H143" s="76">
        <v>1500</v>
      </c>
      <c r="I143" s="83">
        <f>G143*H143</f>
        <v>16354500</v>
      </c>
      <c r="J143" s="69">
        <f t="shared" si="12"/>
        <v>0</v>
      </c>
      <c r="K143" s="300"/>
    </row>
    <row r="144" spans="1:11" ht="31.5">
      <c r="A144" s="81" t="s">
        <v>193</v>
      </c>
      <c r="B144" s="66" t="s">
        <v>92</v>
      </c>
      <c r="C144" s="82" t="s">
        <v>90</v>
      </c>
      <c r="D144" s="76">
        <v>10903</v>
      </c>
      <c r="E144" s="76">
        <v>1000</v>
      </c>
      <c r="F144" s="83">
        <f>D144*E144</f>
        <v>10903000</v>
      </c>
      <c r="G144" s="76">
        <v>10903</v>
      </c>
      <c r="H144" s="76">
        <v>1000</v>
      </c>
      <c r="I144" s="83">
        <f>G144*H144</f>
        <v>10903000</v>
      </c>
      <c r="J144" s="69">
        <f t="shared" si="12"/>
        <v>0</v>
      </c>
      <c r="K144" s="300"/>
    </row>
    <row r="145" spans="1:11">
      <c r="A145" s="150" t="s">
        <v>194</v>
      </c>
      <c r="B145" s="151" t="s">
        <v>195</v>
      </c>
      <c r="C145" s="86"/>
      <c r="D145" s="76"/>
      <c r="E145" s="76"/>
      <c r="F145" s="96">
        <f>+F146+F150</f>
        <v>330744382.03199995</v>
      </c>
      <c r="G145" s="96"/>
      <c r="H145" s="96"/>
      <c r="I145" s="96">
        <f>+I146+I150</f>
        <v>310145500</v>
      </c>
      <c r="J145" s="69">
        <f t="shared" si="12"/>
        <v>-20598882.031999946</v>
      </c>
      <c r="K145" s="80"/>
    </row>
    <row r="146" spans="1:11" ht="78.75">
      <c r="A146" s="60">
        <v>1</v>
      </c>
      <c r="B146" s="91" t="s">
        <v>87</v>
      </c>
      <c r="C146" s="62"/>
      <c r="D146" s="63"/>
      <c r="E146" s="63"/>
      <c r="F146" s="63">
        <f>SUM(F147:F149)</f>
        <v>93587500</v>
      </c>
      <c r="G146" s="63"/>
      <c r="H146" s="63"/>
      <c r="I146" s="63">
        <f>SUM(I147:I149)</f>
        <v>93587500</v>
      </c>
      <c r="J146" s="69">
        <f t="shared" si="12"/>
        <v>0</v>
      </c>
      <c r="K146" s="356" t="s">
        <v>196</v>
      </c>
    </row>
    <row r="147" spans="1:11" ht="31.5">
      <c r="A147" s="81" t="s">
        <v>146</v>
      </c>
      <c r="B147" s="66" t="s">
        <v>89</v>
      </c>
      <c r="C147" s="82" t="s">
        <v>90</v>
      </c>
      <c r="D147" s="76">
        <v>7487</v>
      </c>
      <c r="E147" s="85">
        <v>10000</v>
      </c>
      <c r="F147" s="83">
        <f>D147*E147</f>
        <v>74870000</v>
      </c>
      <c r="G147" s="76">
        <v>7487</v>
      </c>
      <c r="H147" s="85">
        <v>10000</v>
      </c>
      <c r="I147" s="83">
        <f>G147*H147</f>
        <v>74870000</v>
      </c>
      <c r="J147" s="69">
        <f t="shared" si="12"/>
        <v>0</v>
      </c>
      <c r="K147" s="356"/>
    </row>
    <row r="148" spans="1:11" ht="46.5" customHeight="1">
      <c r="A148" s="81" t="s">
        <v>148</v>
      </c>
      <c r="B148" s="66" t="s">
        <v>91</v>
      </c>
      <c r="C148" s="82" t="s">
        <v>90</v>
      </c>
      <c r="D148" s="76">
        <v>7487</v>
      </c>
      <c r="E148" s="76">
        <v>1500</v>
      </c>
      <c r="F148" s="83">
        <f>D148*E148</f>
        <v>11230500</v>
      </c>
      <c r="G148" s="76">
        <v>7487</v>
      </c>
      <c r="H148" s="76">
        <v>1500</v>
      </c>
      <c r="I148" s="83">
        <f>G148*H148</f>
        <v>11230500</v>
      </c>
      <c r="J148" s="69"/>
      <c r="K148" s="356"/>
    </row>
    <row r="149" spans="1:11" ht="53.25" customHeight="1">
      <c r="A149" s="81" t="s">
        <v>149</v>
      </c>
      <c r="B149" s="66" t="s">
        <v>92</v>
      </c>
      <c r="C149" s="82" t="s">
        <v>90</v>
      </c>
      <c r="D149" s="76">
        <v>7487</v>
      </c>
      <c r="E149" s="76">
        <v>1000</v>
      </c>
      <c r="F149" s="83">
        <f>D149*E149</f>
        <v>7487000</v>
      </c>
      <c r="G149" s="76">
        <v>7487</v>
      </c>
      <c r="H149" s="76">
        <v>1000</v>
      </c>
      <c r="I149" s="83">
        <f>G149*H149</f>
        <v>7487000</v>
      </c>
      <c r="J149" s="69">
        <f>I149-F149</f>
        <v>0</v>
      </c>
      <c r="K149" s="356"/>
    </row>
    <row r="150" spans="1:11" ht="39.75" customHeight="1">
      <c r="A150" s="60">
        <v>2</v>
      </c>
      <c r="B150" s="61" t="s">
        <v>114</v>
      </c>
      <c r="C150" s="62"/>
      <c r="D150" s="79"/>
      <c r="E150" s="79"/>
      <c r="F150" s="96">
        <f>SUM(F151:F154)</f>
        <v>237156882.03199998</v>
      </c>
      <c r="G150" s="79"/>
      <c r="H150" s="79"/>
      <c r="I150" s="96">
        <f>SUM(I151:I154)</f>
        <v>216558000</v>
      </c>
      <c r="J150" s="89"/>
      <c r="K150" s="165" t="s">
        <v>197</v>
      </c>
    </row>
    <row r="151" spans="1:11" ht="76.5" customHeight="1">
      <c r="A151" s="81" t="s">
        <v>46</v>
      </c>
      <c r="B151" s="66" t="s">
        <v>198</v>
      </c>
      <c r="C151" s="82" t="s">
        <v>159</v>
      </c>
      <c r="D151" s="90">
        <v>6</v>
      </c>
      <c r="E151" s="90">
        <v>900000</v>
      </c>
      <c r="F151" s="90">
        <f>D151*E151</f>
        <v>5400000</v>
      </c>
      <c r="G151" s="90">
        <f>6</f>
        <v>6</v>
      </c>
      <c r="H151" s="90">
        <v>800000</v>
      </c>
      <c r="I151" s="90">
        <f>G151*H151</f>
        <v>4800000</v>
      </c>
      <c r="J151" s="69">
        <f>I151-F151</f>
        <v>-600000</v>
      </c>
      <c r="K151" s="131" t="s">
        <v>199</v>
      </c>
    </row>
    <row r="152" spans="1:11" ht="90.75" customHeight="1">
      <c r="A152" s="81" t="s">
        <v>46</v>
      </c>
      <c r="B152" s="66" t="s">
        <v>200</v>
      </c>
      <c r="C152" s="82" t="s">
        <v>201</v>
      </c>
      <c r="D152" s="90">
        <v>94</v>
      </c>
      <c r="E152" s="90">
        <v>200000</v>
      </c>
      <c r="F152" s="90">
        <f>D152*E152</f>
        <v>18800000</v>
      </c>
      <c r="G152" s="90"/>
      <c r="H152" s="90"/>
      <c r="I152" s="90">
        <f>G152*H152</f>
        <v>0</v>
      </c>
      <c r="J152" s="69">
        <f>I152-F152</f>
        <v>-18800000</v>
      </c>
      <c r="K152" s="80" t="s">
        <v>202</v>
      </c>
    </row>
    <row r="153" spans="1:11" ht="54" customHeight="1">
      <c r="A153" s="81" t="s">
        <v>46</v>
      </c>
      <c r="B153" s="66" t="s">
        <v>203</v>
      </c>
      <c r="C153" s="82" t="s">
        <v>204</v>
      </c>
      <c r="D153" s="90">
        <f>9*6</f>
        <v>54</v>
      </c>
      <c r="E153" s="90">
        <v>200000</v>
      </c>
      <c r="F153" s="90">
        <f>D153*E153</f>
        <v>10800000</v>
      </c>
      <c r="G153" s="90">
        <f>8*6</f>
        <v>48</v>
      </c>
      <c r="H153" s="90">
        <v>200000</v>
      </c>
      <c r="I153" s="90">
        <f>G153*H153</f>
        <v>9600000</v>
      </c>
      <c r="J153" s="69">
        <f>I153-F153</f>
        <v>-1200000</v>
      </c>
      <c r="K153" s="131" t="s">
        <v>205</v>
      </c>
    </row>
    <row r="154" spans="1:11" s="87" customFormat="1" ht="150.75" customHeight="1">
      <c r="A154" s="125" t="s">
        <v>46</v>
      </c>
      <c r="B154" s="128" t="s">
        <v>206</v>
      </c>
      <c r="C154" s="129" t="s">
        <v>132</v>
      </c>
      <c r="D154" s="132">
        <f>(1005/9)*8*6</f>
        <v>5360</v>
      </c>
      <c r="E154" s="132">
        <v>37715.836199999998</v>
      </c>
      <c r="F154" s="132">
        <f>D154*E154</f>
        <v>202156882.03199998</v>
      </c>
      <c r="G154" s="132">
        <f>(1005/9)*8*6</f>
        <v>5360</v>
      </c>
      <c r="H154" s="132">
        <v>37716</v>
      </c>
      <c r="I154" s="132">
        <f>ROUND(G154*H154,-3)</f>
        <v>202158000</v>
      </c>
      <c r="J154" s="130">
        <f>I154-F154</f>
        <v>1117.9680000245571</v>
      </c>
      <c r="K154" s="133" t="s">
        <v>207</v>
      </c>
    </row>
  </sheetData>
  <mergeCells count="37">
    <mergeCell ref="K137:K140"/>
    <mergeCell ref="K141:K144"/>
    <mergeCell ref="K146:K149"/>
    <mergeCell ref="K105:K108"/>
    <mergeCell ref="K114:K115"/>
    <mergeCell ref="K118:K121"/>
    <mergeCell ref="K122:K125"/>
    <mergeCell ref="K127:K131"/>
    <mergeCell ref="K132:K135"/>
    <mergeCell ref="K103:K104"/>
    <mergeCell ref="K46:K47"/>
    <mergeCell ref="K49:K53"/>
    <mergeCell ref="K54:K57"/>
    <mergeCell ref="K60:K61"/>
    <mergeCell ref="K68:K72"/>
    <mergeCell ref="K73:K76"/>
    <mergeCell ref="K78:K81"/>
    <mergeCell ref="K83:K86"/>
    <mergeCell ref="K87:K89"/>
    <mergeCell ref="K90:K92"/>
    <mergeCell ref="K95:K97"/>
    <mergeCell ref="K42:K45"/>
    <mergeCell ref="A1:B1"/>
    <mergeCell ref="A2:K2"/>
    <mergeCell ref="A3:K3"/>
    <mergeCell ref="F4:K4"/>
    <mergeCell ref="A5:A6"/>
    <mergeCell ref="B5:B6"/>
    <mergeCell ref="C5:C6"/>
    <mergeCell ref="D5:F5"/>
    <mergeCell ref="G5:I5"/>
    <mergeCell ref="J5:J6"/>
    <mergeCell ref="K5:K6"/>
    <mergeCell ref="K9:K14"/>
    <mergeCell ref="K24:K25"/>
    <mergeCell ref="K31:K35"/>
    <mergeCell ref="K36:K39"/>
  </mergeCells>
  <pageMargins left="0.32" right="0.14000000000000001" top="0.33" bottom="0.39" header="0.19" footer="0.16"/>
  <pageSetup paperSize="9" scale="65" firstPageNumber="18" orientation="landscape" useFirstPageNumber="1"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2"/>
  <sheetViews>
    <sheetView workbookViewId="0">
      <selection activeCell="G8" sqref="G8"/>
    </sheetView>
  </sheetViews>
  <sheetFormatPr defaultColWidth="18.125" defaultRowHeight="15.75"/>
  <cols>
    <col min="1" max="1" width="7" style="179" customWidth="1"/>
    <col min="2" max="2" width="27.375" style="231" customWidth="1"/>
    <col min="3" max="3" width="50.625" style="224" customWidth="1"/>
    <col min="4" max="4" width="15.625" style="259" customWidth="1"/>
    <col min="5" max="5" width="20.25" style="224" customWidth="1"/>
    <col min="6" max="6" width="10.625" style="224" customWidth="1"/>
    <col min="7" max="250" width="9.125" style="224" customWidth="1"/>
    <col min="251" max="251" width="4.25" style="224" bestFit="1" customWidth="1"/>
    <col min="252" max="252" width="24.625" style="224" customWidth="1"/>
    <col min="253" max="253" width="21.125" style="224" customWidth="1"/>
    <col min="254" max="254" width="35.125" style="224" customWidth="1"/>
    <col min="255" max="255" width="31.875" style="224" customWidth="1"/>
    <col min="256" max="256" width="18.125" style="224"/>
    <col min="257" max="257" width="7" style="224" customWidth="1"/>
    <col min="258" max="258" width="27.375" style="224" customWidth="1"/>
    <col min="259" max="259" width="50.625" style="224" customWidth="1"/>
    <col min="260" max="260" width="22.125" style="224" customWidth="1"/>
    <col min="261" max="261" width="9.125" style="224" customWidth="1"/>
    <col min="262" max="262" width="10.625" style="224" customWidth="1"/>
    <col min="263" max="506" width="9.125" style="224" customWidth="1"/>
    <col min="507" max="507" width="4.25" style="224" bestFit="1" customWidth="1"/>
    <col min="508" max="508" width="24.625" style="224" customWidth="1"/>
    <col min="509" max="509" width="21.125" style="224" customWidth="1"/>
    <col min="510" max="510" width="35.125" style="224" customWidth="1"/>
    <col min="511" max="511" width="31.875" style="224" customWidth="1"/>
    <col min="512" max="512" width="18.125" style="224"/>
    <col min="513" max="513" width="7" style="224" customWidth="1"/>
    <col min="514" max="514" width="27.375" style="224" customWidth="1"/>
    <col min="515" max="515" width="50.625" style="224" customWidth="1"/>
    <col min="516" max="516" width="22.125" style="224" customWidth="1"/>
    <col min="517" max="517" width="9.125" style="224" customWidth="1"/>
    <col min="518" max="518" width="10.625" style="224" customWidth="1"/>
    <col min="519" max="762" width="9.125" style="224" customWidth="1"/>
    <col min="763" max="763" width="4.25" style="224" bestFit="1" customWidth="1"/>
    <col min="764" max="764" width="24.625" style="224" customWidth="1"/>
    <col min="765" max="765" width="21.125" style="224" customWidth="1"/>
    <col min="766" max="766" width="35.125" style="224" customWidth="1"/>
    <col min="767" max="767" width="31.875" style="224" customWidth="1"/>
    <col min="768" max="768" width="18.125" style="224"/>
    <col min="769" max="769" width="7" style="224" customWidth="1"/>
    <col min="770" max="770" width="27.375" style="224" customWidth="1"/>
    <col min="771" max="771" width="50.625" style="224" customWidth="1"/>
    <col min="772" max="772" width="22.125" style="224" customWidth="1"/>
    <col min="773" max="773" width="9.125" style="224" customWidth="1"/>
    <col min="774" max="774" width="10.625" style="224" customWidth="1"/>
    <col min="775" max="1018" width="9.125" style="224" customWidth="1"/>
    <col min="1019" max="1019" width="4.25" style="224" bestFit="1" customWidth="1"/>
    <col min="1020" max="1020" width="24.625" style="224" customWidth="1"/>
    <col min="1021" max="1021" width="21.125" style="224" customWidth="1"/>
    <col min="1022" max="1022" width="35.125" style="224" customWidth="1"/>
    <col min="1023" max="1023" width="31.875" style="224" customWidth="1"/>
    <col min="1024" max="1024" width="18.125" style="224"/>
    <col min="1025" max="1025" width="7" style="224" customWidth="1"/>
    <col min="1026" max="1026" width="27.375" style="224" customWidth="1"/>
    <col min="1027" max="1027" width="50.625" style="224" customWidth="1"/>
    <col min="1028" max="1028" width="22.125" style="224" customWidth="1"/>
    <col min="1029" max="1029" width="9.125" style="224" customWidth="1"/>
    <col min="1030" max="1030" width="10.625" style="224" customWidth="1"/>
    <col min="1031" max="1274" width="9.125" style="224" customWidth="1"/>
    <col min="1275" max="1275" width="4.25" style="224" bestFit="1" customWidth="1"/>
    <col min="1276" max="1276" width="24.625" style="224" customWidth="1"/>
    <col min="1277" max="1277" width="21.125" style="224" customWidth="1"/>
    <col min="1278" max="1278" width="35.125" style="224" customWidth="1"/>
    <col min="1279" max="1279" width="31.875" style="224" customWidth="1"/>
    <col min="1280" max="1280" width="18.125" style="224"/>
    <col min="1281" max="1281" width="7" style="224" customWidth="1"/>
    <col min="1282" max="1282" width="27.375" style="224" customWidth="1"/>
    <col min="1283" max="1283" width="50.625" style="224" customWidth="1"/>
    <col min="1284" max="1284" width="22.125" style="224" customWidth="1"/>
    <col min="1285" max="1285" width="9.125" style="224" customWidth="1"/>
    <col min="1286" max="1286" width="10.625" style="224" customWidth="1"/>
    <col min="1287" max="1530" width="9.125" style="224" customWidth="1"/>
    <col min="1531" max="1531" width="4.25" style="224" bestFit="1" customWidth="1"/>
    <col min="1532" max="1532" width="24.625" style="224" customWidth="1"/>
    <col min="1533" max="1533" width="21.125" style="224" customWidth="1"/>
    <col min="1534" max="1534" width="35.125" style="224" customWidth="1"/>
    <col min="1535" max="1535" width="31.875" style="224" customWidth="1"/>
    <col min="1536" max="1536" width="18.125" style="224"/>
    <col min="1537" max="1537" width="7" style="224" customWidth="1"/>
    <col min="1538" max="1538" width="27.375" style="224" customWidth="1"/>
    <col min="1539" max="1539" width="50.625" style="224" customWidth="1"/>
    <col min="1540" max="1540" width="22.125" style="224" customWidth="1"/>
    <col min="1541" max="1541" width="9.125" style="224" customWidth="1"/>
    <col min="1542" max="1542" width="10.625" style="224" customWidth="1"/>
    <col min="1543" max="1786" width="9.125" style="224" customWidth="1"/>
    <col min="1787" max="1787" width="4.25" style="224" bestFit="1" customWidth="1"/>
    <col min="1788" max="1788" width="24.625" style="224" customWidth="1"/>
    <col min="1789" max="1789" width="21.125" style="224" customWidth="1"/>
    <col min="1790" max="1790" width="35.125" style="224" customWidth="1"/>
    <col min="1791" max="1791" width="31.875" style="224" customWidth="1"/>
    <col min="1792" max="1792" width="18.125" style="224"/>
    <col min="1793" max="1793" width="7" style="224" customWidth="1"/>
    <col min="1794" max="1794" width="27.375" style="224" customWidth="1"/>
    <col min="1795" max="1795" width="50.625" style="224" customWidth="1"/>
    <col min="1796" max="1796" width="22.125" style="224" customWidth="1"/>
    <col min="1797" max="1797" width="9.125" style="224" customWidth="1"/>
    <col min="1798" max="1798" width="10.625" style="224" customWidth="1"/>
    <col min="1799" max="2042" width="9.125" style="224" customWidth="1"/>
    <col min="2043" max="2043" width="4.25" style="224" bestFit="1" customWidth="1"/>
    <col min="2044" max="2044" width="24.625" style="224" customWidth="1"/>
    <col min="2045" max="2045" width="21.125" style="224" customWidth="1"/>
    <col min="2046" max="2046" width="35.125" style="224" customWidth="1"/>
    <col min="2047" max="2047" width="31.875" style="224" customWidth="1"/>
    <col min="2048" max="2048" width="18.125" style="224"/>
    <col min="2049" max="2049" width="7" style="224" customWidth="1"/>
    <col min="2050" max="2050" width="27.375" style="224" customWidth="1"/>
    <col min="2051" max="2051" width="50.625" style="224" customWidth="1"/>
    <col min="2052" max="2052" width="22.125" style="224" customWidth="1"/>
    <col min="2053" max="2053" width="9.125" style="224" customWidth="1"/>
    <col min="2054" max="2054" width="10.625" style="224" customWidth="1"/>
    <col min="2055" max="2298" width="9.125" style="224" customWidth="1"/>
    <col min="2299" max="2299" width="4.25" style="224" bestFit="1" customWidth="1"/>
    <col min="2300" max="2300" width="24.625" style="224" customWidth="1"/>
    <col min="2301" max="2301" width="21.125" style="224" customWidth="1"/>
    <col min="2302" max="2302" width="35.125" style="224" customWidth="1"/>
    <col min="2303" max="2303" width="31.875" style="224" customWidth="1"/>
    <col min="2304" max="2304" width="18.125" style="224"/>
    <col min="2305" max="2305" width="7" style="224" customWidth="1"/>
    <col min="2306" max="2306" width="27.375" style="224" customWidth="1"/>
    <col min="2307" max="2307" width="50.625" style="224" customWidth="1"/>
    <col min="2308" max="2308" width="22.125" style="224" customWidth="1"/>
    <col min="2309" max="2309" width="9.125" style="224" customWidth="1"/>
    <col min="2310" max="2310" width="10.625" style="224" customWidth="1"/>
    <col min="2311" max="2554" width="9.125" style="224" customWidth="1"/>
    <col min="2555" max="2555" width="4.25" style="224" bestFit="1" customWidth="1"/>
    <col min="2556" max="2556" width="24.625" style="224" customWidth="1"/>
    <col min="2557" max="2557" width="21.125" style="224" customWidth="1"/>
    <col min="2558" max="2558" width="35.125" style="224" customWidth="1"/>
    <col min="2559" max="2559" width="31.875" style="224" customWidth="1"/>
    <col min="2560" max="2560" width="18.125" style="224"/>
    <col min="2561" max="2561" width="7" style="224" customWidth="1"/>
    <col min="2562" max="2562" width="27.375" style="224" customWidth="1"/>
    <col min="2563" max="2563" width="50.625" style="224" customWidth="1"/>
    <col min="2564" max="2564" width="22.125" style="224" customWidth="1"/>
    <col min="2565" max="2565" width="9.125" style="224" customWidth="1"/>
    <col min="2566" max="2566" width="10.625" style="224" customWidth="1"/>
    <col min="2567" max="2810" width="9.125" style="224" customWidth="1"/>
    <col min="2811" max="2811" width="4.25" style="224" bestFit="1" customWidth="1"/>
    <col min="2812" max="2812" width="24.625" style="224" customWidth="1"/>
    <col min="2813" max="2813" width="21.125" style="224" customWidth="1"/>
    <col min="2814" max="2814" width="35.125" style="224" customWidth="1"/>
    <col min="2815" max="2815" width="31.875" style="224" customWidth="1"/>
    <col min="2816" max="2816" width="18.125" style="224"/>
    <col min="2817" max="2817" width="7" style="224" customWidth="1"/>
    <col min="2818" max="2818" width="27.375" style="224" customWidth="1"/>
    <col min="2819" max="2819" width="50.625" style="224" customWidth="1"/>
    <col min="2820" max="2820" width="22.125" style="224" customWidth="1"/>
    <col min="2821" max="2821" width="9.125" style="224" customWidth="1"/>
    <col min="2822" max="2822" width="10.625" style="224" customWidth="1"/>
    <col min="2823" max="3066" width="9.125" style="224" customWidth="1"/>
    <col min="3067" max="3067" width="4.25" style="224" bestFit="1" customWidth="1"/>
    <col min="3068" max="3068" width="24.625" style="224" customWidth="1"/>
    <col min="3069" max="3069" width="21.125" style="224" customWidth="1"/>
    <col min="3070" max="3070" width="35.125" style="224" customWidth="1"/>
    <col min="3071" max="3071" width="31.875" style="224" customWidth="1"/>
    <col min="3072" max="3072" width="18.125" style="224"/>
    <col min="3073" max="3073" width="7" style="224" customWidth="1"/>
    <col min="3074" max="3074" width="27.375" style="224" customWidth="1"/>
    <col min="3075" max="3075" width="50.625" style="224" customWidth="1"/>
    <col min="3076" max="3076" width="22.125" style="224" customWidth="1"/>
    <col min="3077" max="3077" width="9.125" style="224" customWidth="1"/>
    <col min="3078" max="3078" width="10.625" style="224" customWidth="1"/>
    <col min="3079" max="3322" width="9.125" style="224" customWidth="1"/>
    <col min="3323" max="3323" width="4.25" style="224" bestFit="1" customWidth="1"/>
    <col min="3324" max="3324" width="24.625" style="224" customWidth="1"/>
    <col min="3325" max="3325" width="21.125" style="224" customWidth="1"/>
    <col min="3326" max="3326" width="35.125" style="224" customWidth="1"/>
    <col min="3327" max="3327" width="31.875" style="224" customWidth="1"/>
    <col min="3328" max="3328" width="18.125" style="224"/>
    <col min="3329" max="3329" width="7" style="224" customWidth="1"/>
    <col min="3330" max="3330" width="27.375" style="224" customWidth="1"/>
    <col min="3331" max="3331" width="50.625" style="224" customWidth="1"/>
    <col min="3332" max="3332" width="22.125" style="224" customWidth="1"/>
    <col min="3333" max="3333" width="9.125" style="224" customWidth="1"/>
    <col min="3334" max="3334" width="10.625" style="224" customWidth="1"/>
    <col min="3335" max="3578" width="9.125" style="224" customWidth="1"/>
    <col min="3579" max="3579" width="4.25" style="224" bestFit="1" customWidth="1"/>
    <col min="3580" max="3580" width="24.625" style="224" customWidth="1"/>
    <col min="3581" max="3581" width="21.125" style="224" customWidth="1"/>
    <col min="3582" max="3582" width="35.125" style="224" customWidth="1"/>
    <col min="3583" max="3583" width="31.875" style="224" customWidth="1"/>
    <col min="3584" max="3584" width="18.125" style="224"/>
    <col min="3585" max="3585" width="7" style="224" customWidth="1"/>
    <col min="3586" max="3586" width="27.375" style="224" customWidth="1"/>
    <col min="3587" max="3587" width="50.625" style="224" customWidth="1"/>
    <col min="3588" max="3588" width="22.125" style="224" customWidth="1"/>
    <col min="3589" max="3589" width="9.125" style="224" customWidth="1"/>
    <col min="3590" max="3590" width="10.625" style="224" customWidth="1"/>
    <col min="3591" max="3834" width="9.125" style="224" customWidth="1"/>
    <col min="3835" max="3835" width="4.25" style="224" bestFit="1" customWidth="1"/>
    <col min="3836" max="3836" width="24.625" style="224" customWidth="1"/>
    <col min="3837" max="3837" width="21.125" style="224" customWidth="1"/>
    <col min="3838" max="3838" width="35.125" style="224" customWidth="1"/>
    <col min="3839" max="3839" width="31.875" style="224" customWidth="1"/>
    <col min="3840" max="3840" width="18.125" style="224"/>
    <col min="3841" max="3841" width="7" style="224" customWidth="1"/>
    <col min="3842" max="3842" width="27.375" style="224" customWidth="1"/>
    <col min="3843" max="3843" width="50.625" style="224" customWidth="1"/>
    <col min="3844" max="3844" width="22.125" style="224" customWidth="1"/>
    <col min="3845" max="3845" width="9.125" style="224" customWidth="1"/>
    <col min="3846" max="3846" width="10.625" style="224" customWidth="1"/>
    <col min="3847" max="4090" width="9.125" style="224" customWidth="1"/>
    <col min="4091" max="4091" width="4.25" style="224" bestFit="1" customWidth="1"/>
    <col min="4092" max="4092" width="24.625" style="224" customWidth="1"/>
    <col min="4093" max="4093" width="21.125" style="224" customWidth="1"/>
    <col min="4094" max="4094" width="35.125" style="224" customWidth="1"/>
    <col min="4095" max="4095" width="31.875" style="224" customWidth="1"/>
    <col min="4096" max="4096" width="18.125" style="224"/>
    <col min="4097" max="4097" width="7" style="224" customWidth="1"/>
    <col min="4098" max="4098" width="27.375" style="224" customWidth="1"/>
    <col min="4099" max="4099" width="50.625" style="224" customWidth="1"/>
    <col min="4100" max="4100" width="22.125" style="224" customWidth="1"/>
    <col min="4101" max="4101" width="9.125" style="224" customWidth="1"/>
    <col min="4102" max="4102" width="10.625" style="224" customWidth="1"/>
    <col min="4103" max="4346" width="9.125" style="224" customWidth="1"/>
    <col min="4347" max="4347" width="4.25" style="224" bestFit="1" customWidth="1"/>
    <col min="4348" max="4348" width="24.625" style="224" customWidth="1"/>
    <col min="4349" max="4349" width="21.125" style="224" customWidth="1"/>
    <col min="4350" max="4350" width="35.125" style="224" customWidth="1"/>
    <col min="4351" max="4351" width="31.875" style="224" customWidth="1"/>
    <col min="4352" max="4352" width="18.125" style="224"/>
    <col min="4353" max="4353" width="7" style="224" customWidth="1"/>
    <col min="4354" max="4354" width="27.375" style="224" customWidth="1"/>
    <col min="4355" max="4355" width="50.625" style="224" customWidth="1"/>
    <col min="4356" max="4356" width="22.125" style="224" customWidth="1"/>
    <col min="4357" max="4357" width="9.125" style="224" customWidth="1"/>
    <col min="4358" max="4358" width="10.625" style="224" customWidth="1"/>
    <col min="4359" max="4602" width="9.125" style="224" customWidth="1"/>
    <col min="4603" max="4603" width="4.25" style="224" bestFit="1" customWidth="1"/>
    <col min="4604" max="4604" width="24.625" style="224" customWidth="1"/>
    <col min="4605" max="4605" width="21.125" style="224" customWidth="1"/>
    <col min="4606" max="4606" width="35.125" style="224" customWidth="1"/>
    <col min="4607" max="4607" width="31.875" style="224" customWidth="1"/>
    <col min="4608" max="4608" width="18.125" style="224"/>
    <col min="4609" max="4609" width="7" style="224" customWidth="1"/>
    <col min="4610" max="4610" width="27.375" style="224" customWidth="1"/>
    <col min="4611" max="4611" width="50.625" style="224" customWidth="1"/>
    <col min="4612" max="4612" width="22.125" style="224" customWidth="1"/>
    <col min="4613" max="4613" width="9.125" style="224" customWidth="1"/>
    <col min="4614" max="4614" width="10.625" style="224" customWidth="1"/>
    <col min="4615" max="4858" width="9.125" style="224" customWidth="1"/>
    <col min="4859" max="4859" width="4.25" style="224" bestFit="1" customWidth="1"/>
    <col min="4860" max="4860" width="24.625" style="224" customWidth="1"/>
    <col min="4861" max="4861" width="21.125" style="224" customWidth="1"/>
    <col min="4862" max="4862" width="35.125" style="224" customWidth="1"/>
    <col min="4863" max="4863" width="31.875" style="224" customWidth="1"/>
    <col min="4864" max="4864" width="18.125" style="224"/>
    <col min="4865" max="4865" width="7" style="224" customWidth="1"/>
    <col min="4866" max="4866" width="27.375" style="224" customWidth="1"/>
    <col min="4867" max="4867" width="50.625" style="224" customWidth="1"/>
    <col min="4868" max="4868" width="22.125" style="224" customWidth="1"/>
    <col min="4869" max="4869" width="9.125" style="224" customWidth="1"/>
    <col min="4870" max="4870" width="10.625" style="224" customWidth="1"/>
    <col min="4871" max="5114" width="9.125" style="224" customWidth="1"/>
    <col min="5115" max="5115" width="4.25" style="224" bestFit="1" customWidth="1"/>
    <col min="5116" max="5116" width="24.625" style="224" customWidth="1"/>
    <col min="5117" max="5117" width="21.125" style="224" customWidth="1"/>
    <col min="5118" max="5118" width="35.125" style="224" customWidth="1"/>
    <col min="5119" max="5119" width="31.875" style="224" customWidth="1"/>
    <col min="5120" max="5120" width="18.125" style="224"/>
    <col min="5121" max="5121" width="7" style="224" customWidth="1"/>
    <col min="5122" max="5122" width="27.375" style="224" customWidth="1"/>
    <col min="5123" max="5123" width="50.625" style="224" customWidth="1"/>
    <col min="5124" max="5124" width="22.125" style="224" customWidth="1"/>
    <col min="5125" max="5125" width="9.125" style="224" customWidth="1"/>
    <col min="5126" max="5126" width="10.625" style="224" customWidth="1"/>
    <col min="5127" max="5370" width="9.125" style="224" customWidth="1"/>
    <col min="5371" max="5371" width="4.25" style="224" bestFit="1" customWidth="1"/>
    <col min="5372" max="5372" width="24.625" style="224" customWidth="1"/>
    <col min="5373" max="5373" width="21.125" style="224" customWidth="1"/>
    <col min="5374" max="5374" width="35.125" style="224" customWidth="1"/>
    <col min="5375" max="5375" width="31.875" style="224" customWidth="1"/>
    <col min="5376" max="5376" width="18.125" style="224"/>
    <col min="5377" max="5377" width="7" style="224" customWidth="1"/>
    <col min="5378" max="5378" width="27.375" style="224" customWidth="1"/>
    <col min="5379" max="5379" width="50.625" style="224" customWidth="1"/>
    <col min="5380" max="5380" width="22.125" style="224" customWidth="1"/>
    <col min="5381" max="5381" width="9.125" style="224" customWidth="1"/>
    <col min="5382" max="5382" width="10.625" style="224" customWidth="1"/>
    <col min="5383" max="5626" width="9.125" style="224" customWidth="1"/>
    <col min="5627" max="5627" width="4.25" style="224" bestFit="1" customWidth="1"/>
    <col min="5628" max="5628" width="24.625" style="224" customWidth="1"/>
    <col min="5629" max="5629" width="21.125" style="224" customWidth="1"/>
    <col min="5630" max="5630" width="35.125" style="224" customWidth="1"/>
    <col min="5631" max="5631" width="31.875" style="224" customWidth="1"/>
    <col min="5632" max="5632" width="18.125" style="224"/>
    <col min="5633" max="5633" width="7" style="224" customWidth="1"/>
    <col min="5634" max="5634" width="27.375" style="224" customWidth="1"/>
    <col min="5635" max="5635" width="50.625" style="224" customWidth="1"/>
    <col min="5636" max="5636" width="22.125" style="224" customWidth="1"/>
    <col min="5637" max="5637" width="9.125" style="224" customWidth="1"/>
    <col min="5638" max="5638" width="10.625" style="224" customWidth="1"/>
    <col min="5639" max="5882" width="9.125" style="224" customWidth="1"/>
    <col min="5883" max="5883" width="4.25" style="224" bestFit="1" customWidth="1"/>
    <col min="5884" max="5884" width="24.625" style="224" customWidth="1"/>
    <col min="5885" max="5885" width="21.125" style="224" customWidth="1"/>
    <col min="5886" max="5886" width="35.125" style="224" customWidth="1"/>
    <col min="5887" max="5887" width="31.875" style="224" customWidth="1"/>
    <col min="5888" max="5888" width="18.125" style="224"/>
    <col min="5889" max="5889" width="7" style="224" customWidth="1"/>
    <col min="5890" max="5890" width="27.375" style="224" customWidth="1"/>
    <col min="5891" max="5891" width="50.625" style="224" customWidth="1"/>
    <col min="5892" max="5892" width="22.125" style="224" customWidth="1"/>
    <col min="5893" max="5893" width="9.125" style="224" customWidth="1"/>
    <col min="5894" max="5894" width="10.625" style="224" customWidth="1"/>
    <col min="5895" max="6138" width="9.125" style="224" customWidth="1"/>
    <col min="6139" max="6139" width="4.25" style="224" bestFit="1" customWidth="1"/>
    <col min="6140" max="6140" width="24.625" style="224" customWidth="1"/>
    <col min="6141" max="6141" width="21.125" style="224" customWidth="1"/>
    <col min="6142" max="6142" width="35.125" style="224" customWidth="1"/>
    <col min="6143" max="6143" width="31.875" style="224" customWidth="1"/>
    <col min="6144" max="6144" width="18.125" style="224"/>
    <col min="6145" max="6145" width="7" style="224" customWidth="1"/>
    <col min="6146" max="6146" width="27.375" style="224" customWidth="1"/>
    <col min="6147" max="6147" width="50.625" style="224" customWidth="1"/>
    <col min="6148" max="6148" width="22.125" style="224" customWidth="1"/>
    <col min="6149" max="6149" width="9.125" style="224" customWidth="1"/>
    <col min="6150" max="6150" width="10.625" style="224" customWidth="1"/>
    <col min="6151" max="6394" width="9.125" style="224" customWidth="1"/>
    <col min="6395" max="6395" width="4.25" style="224" bestFit="1" customWidth="1"/>
    <col min="6396" max="6396" width="24.625" style="224" customWidth="1"/>
    <col min="6397" max="6397" width="21.125" style="224" customWidth="1"/>
    <col min="6398" max="6398" width="35.125" style="224" customWidth="1"/>
    <col min="6399" max="6399" width="31.875" style="224" customWidth="1"/>
    <col min="6400" max="6400" width="18.125" style="224"/>
    <col min="6401" max="6401" width="7" style="224" customWidth="1"/>
    <col min="6402" max="6402" width="27.375" style="224" customWidth="1"/>
    <col min="6403" max="6403" width="50.625" style="224" customWidth="1"/>
    <col min="6404" max="6404" width="22.125" style="224" customWidth="1"/>
    <col min="6405" max="6405" width="9.125" style="224" customWidth="1"/>
    <col min="6406" max="6406" width="10.625" style="224" customWidth="1"/>
    <col min="6407" max="6650" width="9.125" style="224" customWidth="1"/>
    <col min="6651" max="6651" width="4.25" style="224" bestFit="1" customWidth="1"/>
    <col min="6652" max="6652" width="24.625" style="224" customWidth="1"/>
    <col min="6653" max="6653" width="21.125" style="224" customWidth="1"/>
    <col min="6654" max="6654" width="35.125" style="224" customWidth="1"/>
    <col min="6655" max="6655" width="31.875" style="224" customWidth="1"/>
    <col min="6656" max="6656" width="18.125" style="224"/>
    <col min="6657" max="6657" width="7" style="224" customWidth="1"/>
    <col min="6658" max="6658" width="27.375" style="224" customWidth="1"/>
    <col min="6659" max="6659" width="50.625" style="224" customWidth="1"/>
    <col min="6660" max="6660" width="22.125" style="224" customWidth="1"/>
    <col min="6661" max="6661" width="9.125" style="224" customWidth="1"/>
    <col min="6662" max="6662" width="10.625" style="224" customWidth="1"/>
    <col min="6663" max="6906" width="9.125" style="224" customWidth="1"/>
    <col min="6907" max="6907" width="4.25" style="224" bestFit="1" customWidth="1"/>
    <col min="6908" max="6908" width="24.625" style="224" customWidth="1"/>
    <col min="6909" max="6909" width="21.125" style="224" customWidth="1"/>
    <col min="6910" max="6910" width="35.125" style="224" customWidth="1"/>
    <col min="6911" max="6911" width="31.875" style="224" customWidth="1"/>
    <col min="6912" max="6912" width="18.125" style="224"/>
    <col min="6913" max="6913" width="7" style="224" customWidth="1"/>
    <col min="6914" max="6914" width="27.375" style="224" customWidth="1"/>
    <col min="6915" max="6915" width="50.625" style="224" customWidth="1"/>
    <col min="6916" max="6916" width="22.125" style="224" customWidth="1"/>
    <col min="6917" max="6917" width="9.125" style="224" customWidth="1"/>
    <col min="6918" max="6918" width="10.625" style="224" customWidth="1"/>
    <col min="6919" max="7162" width="9.125" style="224" customWidth="1"/>
    <col min="7163" max="7163" width="4.25" style="224" bestFit="1" customWidth="1"/>
    <col min="7164" max="7164" width="24.625" style="224" customWidth="1"/>
    <col min="7165" max="7165" width="21.125" style="224" customWidth="1"/>
    <col min="7166" max="7166" width="35.125" style="224" customWidth="1"/>
    <col min="7167" max="7167" width="31.875" style="224" customWidth="1"/>
    <col min="7168" max="7168" width="18.125" style="224"/>
    <col min="7169" max="7169" width="7" style="224" customWidth="1"/>
    <col min="7170" max="7170" width="27.375" style="224" customWidth="1"/>
    <col min="7171" max="7171" width="50.625" style="224" customWidth="1"/>
    <col min="7172" max="7172" width="22.125" style="224" customWidth="1"/>
    <col min="7173" max="7173" width="9.125" style="224" customWidth="1"/>
    <col min="7174" max="7174" width="10.625" style="224" customWidth="1"/>
    <col min="7175" max="7418" width="9.125" style="224" customWidth="1"/>
    <col min="7419" max="7419" width="4.25" style="224" bestFit="1" customWidth="1"/>
    <col min="7420" max="7420" width="24.625" style="224" customWidth="1"/>
    <col min="7421" max="7421" width="21.125" style="224" customWidth="1"/>
    <col min="7422" max="7422" width="35.125" style="224" customWidth="1"/>
    <col min="7423" max="7423" width="31.875" style="224" customWidth="1"/>
    <col min="7424" max="7424" width="18.125" style="224"/>
    <col min="7425" max="7425" width="7" style="224" customWidth="1"/>
    <col min="7426" max="7426" width="27.375" style="224" customWidth="1"/>
    <col min="7427" max="7427" width="50.625" style="224" customWidth="1"/>
    <col min="7428" max="7428" width="22.125" style="224" customWidth="1"/>
    <col min="7429" max="7429" width="9.125" style="224" customWidth="1"/>
    <col min="7430" max="7430" width="10.625" style="224" customWidth="1"/>
    <col min="7431" max="7674" width="9.125" style="224" customWidth="1"/>
    <col min="7675" max="7675" width="4.25" style="224" bestFit="1" customWidth="1"/>
    <col min="7676" max="7676" width="24.625" style="224" customWidth="1"/>
    <col min="7677" max="7677" width="21.125" style="224" customWidth="1"/>
    <col min="7678" max="7678" width="35.125" style="224" customWidth="1"/>
    <col min="7679" max="7679" width="31.875" style="224" customWidth="1"/>
    <col min="7680" max="7680" width="18.125" style="224"/>
    <col min="7681" max="7681" width="7" style="224" customWidth="1"/>
    <col min="7682" max="7682" width="27.375" style="224" customWidth="1"/>
    <col min="7683" max="7683" width="50.625" style="224" customWidth="1"/>
    <col min="7684" max="7684" width="22.125" style="224" customWidth="1"/>
    <col min="7685" max="7685" width="9.125" style="224" customWidth="1"/>
    <col min="7686" max="7686" width="10.625" style="224" customWidth="1"/>
    <col min="7687" max="7930" width="9.125" style="224" customWidth="1"/>
    <col min="7931" max="7931" width="4.25" style="224" bestFit="1" customWidth="1"/>
    <col min="7932" max="7932" width="24.625" style="224" customWidth="1"/>
    <col min="7933" max="7933" width="21.125" style="224" customWidth="1"/>
    <col min="7934" max="7934" width="35.125" style="224" customWidth="1"/>
    <col min="7935" max="7935" width="31.875" style="224" customWidth="1"/>
    <col min="7936" max="7936" width="18.125" style="224"/>
    <col min="7937" max="7937" width="7" style="224" customWidth="1"/>
    <col min="7938" max="7938" width="27.375" style="224" customWidth="1"/>
    <col min="7939" max="7939" width="50.625" style="224" customWidth="1"/>
    <col min="7940" max="7940" width="22.125" style="224" customWidth="1"/>
    <col min="7941" max="7941" width="9.125" style="224" customWidth="1"/>
    <col min="7942" max="7942" width="10.625" style="224" customWidth="1"/>
    <col min="7943" max="8186" width="9.125" style="224" customWidth="1"/>
    <col min="8187" max="8187" width="4.25" style="224" bestFit="1" customWidth="1"/>
    <col min="8188" max="8188" width="24.625" style="224" customWidth="1"/>
    <col min="8189" max="8189" width="21.125" style="224" customWidth="1"/>
    <col min="8190" max="8190" width="35.125" style="224" customWidth="1"/>
    <col min="8191" max="8191" width="31.875" style="224" customWidth="1"/>
    <col min="8192" max="8192" width="18.125" style="224"/>
    <col min="8193" max="8193" width="7" style="224" customWidth="1"/>
    <col min="8194" max="8194" width="27.375" style="224" customWidth="1"/>
    <col min="8195" max="8195" width="50.625" style="224" customWidth="1"/>
    <col min="8196" max="8196" width="22.125" style="224" customWidth="1"/>
    <col min="8197" max="8197" width="9.125" style="224" customWidth="1"/>
    <col min="8198" max="8198" width="10.625" style="224" customWidth="1"/>
    <col min="8199" max="8442" width="9.125" style="224" customWidth="1"/>
    <col min="8443" max="8443" width="4.25" style="224" bestFit="1" customWidth="1"/>
    <col min="8444" max="8444" width="24.625" style="224" customWidth="1"/>
    <col min="8445" max="8445" width="21.125" style="224" customWidth="1"/>
    <col min="8446" max="8446" width="35.125" style="224" customWidth="1"/>
    <col min="8447" max="8447" width="31.875" style="224" customWidth="1"/>
    <col min="8448" max="8448" width="18.125" style="224"/>
    <col min="8449" max="8449" width="7" style="224" customWidth="1"/>
    <col min="8450" max="8450" width="27.375" style="224" customWidth="1"/>
    <col min="8451" max="8451" width="50.625" style="224" customWidth="1"/>
    <col min="8452" max="8452" width="22.125" style="224" customWidth="1"/>
    <col min="8453" max="8453" width="9.125" style="224" customWidth="1"/>
    <col min="8454" max="8454" width="10.625" style="224" customWidth="1"/>
    <col min="8455" max="8698" width="9.125" style="224" customWidth="1"/>
    <col min="8699" max="8699" width="4.25" style="224" bestFit="1" customWidth="1"/>
    <col min="8700" max="8700" width="24.625" style="224" customWidth="1"/>
    <col min="8701" max="8701" width="21.125" style="224" customWidth="1"/>
    <col min="8702" max="8702" width="35.125" style="224" customWidth="1"/>
    <col min="8703" max="8703" width="31.875" style="224" customWidth="1"/>
    <col min="8704" max="8704" width="18.125" style="224"/>
    <col min="8705" max="8705" width="7" style="224" customWidth="1"/>
    <col min="8706" max="8706" width="27.375" style="224" customWidth="1"/>
    <col min="8707" max="8707" width="50.625" style="224" customWidth="1"/>
    <col min="8708" max="8708" width="22.125" style="224" customWidth="1"/>
    <col min="8709" max="8709" width="9.125" style="224" customWidth="1"/>
    <col min="8710" max="8710" width="10.625" style="224" customWidth="1"/>
    <col min="8711" max="8954" width="9.125" style="224" customWidth="1"/>
    <col min="8955" max="8955" width="4.25" style="224" bestFit="1" customWidth="1"/>
    <col min="8956" max="8956" width="24.625" style="224" customWidth="1"/>
    <col min="8957" max="8957" width="21.125" style="224" customWidth="1"/>
    <col min="8958" max="8958" width="35.125" style="224" customWidth="1"/>
    <col min="8959" max="8959" width="31.875" style="224" customWidth="1"/>
    <col min="8960" max="8960" width="18.125" style="224"/>
    <col min="8961" max="8961" width="7" style="224" customWidth="1"/>
    <col min="8962" max="8962" width="27.375" style="224" customWidth="1"/>
    <col min="8963" max="8963" width="50.625" style="224" customWidth="1"/>
    <col min="8964" max="8964" width="22.125" style="224" customWidth="1"/>
    <col min="8965" max="8965" width="9.125" style="224" customWidth="1"/>
    <col min="8966" max="8966" width="10.625" style="224" customWidth="1"/>
    <col min="8967" max="9210" width="9.125" style="224" customWidth="1"/>
    <col min="9211" max="9211" width="4.25" style="224" bestFit="1" customWidth="1"/>
    <col min="9212" max="9212" width="24.625" style="224" customWidth="1"/>
    <col min="9213" max="9213" width="21.125" style="224" customWidth="1"/>
    <col min="9214" max="9214" width="35.125" style="224" customWidth="1"/>
    <col min="9215" max="9215" width="31.875" style="224" customWidth="1"/>
    <col min="9216" max="9216" width="18.125" style="224"/>
    <col min="9217" max="9217" width="7" style="224" customWidth="1"/>
    <col min="9218" max="9218" width="27.375" style="224" customWidth="1"/>
    <col min="9219" max="9219" width="50.625" style="224" customWidth="1"/>
    <col min="9220" max="9220" width="22.125" style="224" customWidth="1"/>
    <col min="9221" max="9221" width="9.125" style="224" customWidth="1"/>
    <col min="9222" max="9222" width="10.625" style="224" customWidth="1"/>
    <col min="9223" max="9466" width="9.125" style="224" customWidth="1"/>
    <col min="9467" max="9467" width="4.25" style="224" bestFit="1" customWidth="1"/>
    <col min="9468" max="9468" width="24.625" style="224" customWidth="1"/>
    <col min="9469" max="9469" width="21.125" style="224" customWidth="1"/>
    <col min="9470" max="9470" width="35.125" style="224" customWidth="1"/>
    <col min="9471" max="9471" width="31.875" style="224" customWidth="1"/>
    <col min="9472" max="9472" width="18.125" style="224"/>
    <col min="9473" max="9473" width="7" style="224" customWidth="1"/>
    <col min="9474" max="9474" width="27.375" style="224" customWidth="1"/>
    <col min="9475" max="9475" width="50.625" style="224" customWidth="1"/>
    <col min="9476" max="9476" width="22.125" style="224" customWidth="1"/>
    <col min="9477" max="9477" width="9.125" style="224" customWidth="1"/>
    <col min="9478" max="9478" width="10.625" style="224" customWidth="1"/>
    <col min="9479" max="9722" width="9.125" style="224" customWidth="1"/>
    <col min="9723" max="9723" width="4.25" style="224" bestFit="1" customWidth="1"/>
    <col min="9724" max="9724" width="24.625" style="224" customWidth="1"/>
    <col min="9725" max="9725" width="21.125" style="224" customWidth="1"/>
    <col min="9726" max="9726" width="35.125" style="224" customWidth="1"/>
    <col min="9727" max="9727" width="31.875" style="224" customWidth="1"/>
    <col min="9728" max="9728" width="18.125" style="224"/>
    <col min="9729" max="9729" width="7" style="224" customWidth="1"/>
    <col min="9730" max="9730" width="27.375" style="224" customWidth="1"/>
    <col min="9731" max="9731" width="50.625" style="224" customWidth="1"/>
    <col min="9732" max="9732" width="22.125" style="224" customWidth="1"/>
    <col min="9733" max="9733" width="9.125" style="224" customWidth="1"/>
    <col min="9734" max="9734" width="10.625" style="224" customWidth="1"/>
    <col min="9735" max="9978" width="9.125" style="224" customWidth="1"/>
    <col min="9979" max="9979" width="4.25" style="224" bestFit="1" customWidth="1"/>
    <col min="9980" max="9980" width="24.625" style="224" customWidth="1"/>
    <col min="9981" max="9981" width="21.125" style="224" customWidth="1"/>
    <col min="9982" max="9982" width="35.125" style="224" customWidth="1"/>
    <col min="9983" max="9983" width="31.875" style="224" customWidth="1"/>
    <col min="9984" max="9984" width="18.125" style="224"/>
    <col min="9985" max="9985" width="7" style="224" customWidth="1"/>
    <col min="9986" max="9986" width="27.375" style="224" customWidth="1"/>
    <col min="9987" max="9987" width="50.625" style="224" customWidth="1"/>
    <col min="9988" max="9988" width="22.125" style="224" customWidth="1"/>
    <col min="9989" max="9989" width="9.125" style="224" customWidth="1"/>
    <col min="9990" max="9990" width="10.625" style="224" customWidth="1"/>
    <col min="9991" max="10234" width="9.125" style="224" customWidth="1"/>
    <col min="10235" max="10235" width="4.25" style="224" bestFit="1" customWidth="1"/>
    <col min="10236" max="10236" width="24.625" style="224" customWidth="1"/>
    <col min="10237" max="10237" width="21.125" style="224" customWidth="1"/>
    <col min="10238" max="10238" width="35.125" style="224" customWidth="1"/>
    <col min="10239" max="10239" width="31.875" style="224" customWidth="1"/>
    <col min="10240" max="10240" width="18.125" style="224"/>
    <col min="10241" max="10241" width="7" style="224" customWidth="1"/>
    <col min="10242" max="10242" width="27.375" style="224" customWidth="1"/>
    <col min="10243" max="10243" width="50.625" style="224" customWidth="1"/>
    <col min="10244" max="10244" width="22.125" style="224" customWidth="1"/>
    <col min="10245" max="10245" width="9.125" style="224" customWidth="1"/>
    <col min="10246" max="10246" width="10.625" style="224" customWidth="1"/>
    <col min="10247" max="10490" width="9.125" style="224" customWidth="1"/>
    <col min="10491" max="10491" width="4.25" style="224" bestFit="1" customWidth="1"/>
    <col min="10492" max="10492" width="24.625" style="224" customWidth="1"/>
    <col min="10493" max="10493" width="21.125" style="224" customWidth="1"/>
    <col min="10494" max="10494" width="35.125" style="224" customWidth="1"/>
    <col min="10495" max="10495" width="31.875" style="224" customWidth="1"/>
    <col min="10496" max="10496" width="18.125" style="224"/>
    <col min="10497" max="10497" width="7" style="224" customWidth="1"/>
    <col min="10498" max="10498" width="27.375" style="224" customWidth="1"/>
    <col min="10499" max="10499" width="50.625" style="224" customWidth="1"/>
    <col min="10500" max="10500" width="22.125" style="224" customWidth="1"/>
    <col min="10501" max="10501" width="9.125" style="224" customWidth="1"/>
    <col min="10502" max="10502" width="10.625" style="224" customWidth="1"/>
    <col min="10503" max="10746" width="9.125" style="224" customWidth="1"/>
    <col min="10747" max="10747" width="4.25" style="224" bestFit="1" customWidth="1"/>
    <col min="10748" max="10748" width="24.625" style="224" customWidth="1"/>
    <col min="10749" max="10749" width="21.125" style="224" customWidth="1"/>
    <col min="10750" max="10750" width="35.125" style="224" customWidth="1"/>
    <col min="10751" max="10751" width="31.875" style="224" customWidth="1"/>
    <col min="10752" max="10752" width="18.125" style="224"/>
    <col min="10753" max="10753" width="7" style="224" customWidth="1"/>
    <col min="10754" max="10754" width="27.375" style="224" customWidth="1"/>
    <col min="10755" max="10755" width="50.625" style="224" customWidth="1"/>
    <col min="10756" max="10756" width="22.125" style="224" customWidth="1"/>
    <col min="10757" max="10757" width="9.125" style="224" customWidth="1"/>
    <col min="10758" max="10758" width="10.625" style="224" customWidth="1"/>
    <col min="10759" max="11002" width="9.125" style="224" customWidth="1"/>
    <col min="11003" max="11003" width="4.25" style="224" bestFit="1" customWidth="1"/>
    <col min="11004" max="11004" width="24.625" style="224" customWidth="1"/>
    <col min="11005" max="11005" width="21.125" style="224" customWidth="1"/>
    <col min="11006" max="11006" width="35.125" style="224" customWidth="1"/>
    <col min="11007" max="11007" width="31.875" style="224" customWidth="1"/>
    <col min="11008" max="11008" width="18.125" style="224"/>
    <col min="11009" max="11009" width="7" style="224" customWidth="1"/>
    <col min="11010" max="11010" width="27.375" style="224" customWidth="1"/>
    <col min="11011" max="11011" width="50.625" style="224" customWidth="1"/>
    <col min="11012" max="11012" width="22.125" style="224" customWidth="1"/>
    <col min="11013" max="11013" width="9.125" style="224" customWidth="1"/>
    <col min="11014" max="11014" width="10.625" style="224" customWidth="1"/>
    <col min="11015" max="11258" width="9.125" style="224" customWidth="1"/>
    <col min="11259" max="11259" width="4.25" style="224" bestFit="1" customWidth="1"/>
    <col min="11260" max="11260" width="24.625" style="224" customWidth="1"/>
    <col min="11261" max="11261" width="21.125" style="224" customWidth="1"/>
    <col min="11262" max="11262" width="35.125" style="224" customWidth="1"/>
    <col min="11263" max="11263" width="31.875" style="224" customWidth="1"/>
    <col min="11264" max="11264" width="18.125" style="224"/>
    <col min="11265" max="11265" width="7" style="224" customWidth="1"/>
    <col min="11266" max="11266" width="27.375" style="224" customWidth="1"/>
    <col min="11267" max="11267" width="50.625" style="224" customWidth="1"/>
    <col min="11268" max="11268" width="22.125" style="224" customWidth="1"/>
    <col min="11269" max="11269" width="9.125" style="224" customWidth="1"/>
    <col min="11270" max="11270" width="10.625" style="224" customWidth="1"/>
    <col min="11271" max="11514" width="9.125" style="224" customWidth="1"/>
    <col min="11515" max="11515" width="4.25" style="224" bestFit="1" customWidth="1"/>
    <col min="11516" max="11516" width="24.625" style="224" customWidth="1"/>
    <col min="11517" max="11517" width="21.125" style="224" customWidth="1"/>
    <col min="11518" max="11518" width="35.125" style="224" customWidth="1"/>
    <col min="11519" max="11519" width="31.875" style="224" customWidth="1"/>
    <col min="11520" max="11520" width="18.125" style="224"/>
    <col min="11521" max="11521" width="7" style="224" customWidth="1"/>
    <col min="11522" max="11522" width="27.375" style="224" customWidth="1"/>
    <col min="11523" max="11523" width="50.625" style="224" customWidth="1"/>
    <col min="11524" max="11524" width="22.125" style="224" customWidth="1"/>
    <col min="11525" max="11525" width="9.125" style="224" customWidth="1"/>
    <col min="11526" max="11526" width="10.625" style="224" customWidth="1"/>
    <col min="11527" max="11770" width="9.125" style="224" customWidth="1"/>
    <col min="11771" max="11771" width="4.25" style="224" bestFit="1" customWidth="1"/>
    <col min="11772" max="11772" width="24.625" style="224" customWidth="1"/>
    <col min="11773" max="11773" width="21.125" style="224" customWidth="1"/>
    <col min="11774" max="11774" width="35.125" style="224" customWidth="1"/>
    <col min="11775" max="11775" width="31.875" style="224" customWidth="1"/>
    <col min="11776" max="11776" width="18.125" style="224"/>
    <col min="11777" max="11777" width="7" style="224" customWidth="1"/>
    <col min="11778" max="11778" width="27.375" style="224" customWidth="1"/>
    <col min="11779" max="11779" width="50.625" style="224" customWidth="1"/>
    <col min="11780" max="11780" width="22.125" style="224" customWidth="1"/>
    <col min="11781" max="11781" width="9.125" style="224" customWidth="1"/>
    <col min="11782" max="11782" width="10.625" style="224" customWidth="1"/>
    <col min="11783" max="12026" width="9.125" style="224" customWidth="1"/>
    <col min="12027" max="12027" width="4.25" style="224" bestFit="1" customWidth="1"/>
    <col min="12028" max="12028" width="24.625" style="224" customWidth="1"/>
    <col min="12029" max="12029" width="21.125" style="224" customWidth="1"/>
    <col min="12030" max="12030" width="35.125" style="224" customWidth="1"/>
    <col min="12031" max="12031" width="31.875" style="224" customWidth="1"/>
    <col min="12032" max="12032" width="18.125" style="224"/>
    <col min="12033" max="12033" width="7" style="224" customWidth="1"/>
    <col min="12034" max="12034" width="27.375" style="224" customWidth="1"/>
    <col min="12035" max="12035" width="50.625" style="224" customWidth="1"/>
    <col min="12036" max="12036" width="22.125" style="224" customWidth="1"/>
    <col min="12037" max="12037" width="9.125" style="224" customWidth="1"/>
    <col min="12038" max="12038" width="10.625" style="224" customWidth="1"/>
    <col min="12039" max="12282" width="9.125" style="224" customWidth="1"/>
    <col min="12283" max="12283" width="4.25" style="224" bestFit="1" customWidth="1"/>
    <col min="12284" max="12284" width="24.625" style="224" customWidth="1"/>
    <col min="12285" max="12285" width="21.125" style="224" customWidth="1"/>
    <col min="12286" max="12286" width="35.125" style="224" customWidth="1"/>
    <col min="12287" max="12287" width="31.875" style="224" customWidth="1"/>
    <col min="12288" max="12288" width="18.125" style="224"/>
    <col min="12289" max="12289" width="7" style="224" customWidth="1"/>
    <col min="12290" max="12290" width="27.375" style="224" customWidth="1"/>
    <col min="12291" max="12291" width="50.625" style="224" customWidth="1"/>
    <col min="12292" max="12292" width="22.125" style="224" customWidth="1"/>
    <col min="12293" max="12293" width="9.125" style="224" customWidth="1"/>
    <col min="12294" max="12294" width="10.625" style="224" customWidth="1"/>
    <col min="12295" max="12538" width="9.125" style="224" customWidth="1"/>
    <col min="12539" max="12539" width="4.25" style="224" bestFit="1" customWidth="1"/>
    <col min="12540" max="12540" width="24.625" style="224" customWidth="1"/>
    <col min="12541" max="12541" width="21.125" style="224" customWidth="1"/>
    <col min="12542" max="12542" width="35.125" style="224" customWidth="1"/>
    <col min="12543" max="12543" width="31.875" style="224" customWidth="1"/>
    <col min="12544" max="12544" width="18.125" style="224"/>
    <col min="12545" max="12545" width="7" style="224" customWidth="1"/>
    <col min="12546" max="12546" width="27.375" style="224" customWidth="1"/>
    <col min="12547" max="12547" width="50.625" style="224" customWidth="1"/>
    <col min="12548" max="12548" width="22.125" style="224" customWidth="1"/>
    <col min="12549" max="12549" width="9.125" style="224" customWidth="1"/>
    <col min="12550" max="12550" width="10.625" style="224" customWidth="1"/>
    <col min="12551" max="12794" width="9.125" style="224" customWidth="1"/>
    <col min="12795" max="12795" width="4.25" style="224" bestFit="1" customWidth="1"/>
    <col min="12796" max="12796" width="24.625" style="224" customWidth="1"/>
    <col min="12797" max="12797" width="21.125" style="224" customWidth="1"/>
    <col min="12798" max="12798" width="35.125" style="224" customWidth="1"/>
    <col min="12799" max="12799" width="31.875" style="224" customWidth="1"/>
    <col min="12800" max="12800" width="18.125" style="224"/>
    <col min="12801" max="12801" width="7" style="224" customWidth="1"/>
    <col min="12802" max="12802" width="27.375" style="224" customWidth="1"/>
    <col min="12803" max="12803" width="50.625" style="224" customWidth="1"/>
    <col min="12804" max="12804" width="22.125" style="224" customWidth="1"/>
    <col min="12805" max="12805" width="9.125" style="224" customWidth="1"/>
    <col min="12806" max="12806" width="10.625" style="224" customWidth="1"/>
    <col min="12807" max="13050" width="9.125" style="224" customWidth="1"/>
    <col min="13051" max="13051" width="4.25" style="224" bestFit="1" customWidth="1"/>
    <col min="13052" max="13052" width="24.625" style="224" customWidth="1"/>
    <col min="13053" max="13053" width="21.125" style="224" customWidth="1"/>
    <col min="13054" max="13054" width="35.125" style="224" customWidth="1"/>
    <col min="13055" max="13055" width="31.875" style="224" customWidth="1"/>
    <col min="13056" max="13056" width="18.125" style="224"/>
    <col min="13057" max="13057" width="7" style="224" customWidth="1"/>
    <col min="13058" max="13058" width="27.375" style="224" customWidth="1"/>
    <col min="13059" max="13059" width="50.625" style="224" customWidth="1"/>
    <col min="13060" max="13060" width="22.125" style="224" customWidth="1"/>
    <col min="13061" max="13061" width="9.125" style="224" customWidth="1"/>
    <col min="13062" max="13062" width="10.625" style="224" customWidth="1"/>
    <col min="13063" max="13306" width="9.125" style="224" customWidth="1"/>
    <col min="13307" max="13307" width="4.25" style="224" bestFit="1" customWidth="1"/>
    <col min="13308" max="13308" width="24.625" style="224" customWidth="1"/>
    <col min="13309" max="13309" width="21.125" style="224" customWidth="1"/>
    <col min="13310" max="13310" width="35.125" style="224" customWidth="1"/>
    <col min="13311" max="13311" width="31.875" style="224" customWidth="1"/>
    <col min="13312" max="13312" width="18.125" style="224"/>
    <col min="13313" max="13313" width="7" style="224" customWidth="1"/>
    <col min="13314" max="13314" width="27.375" style="224" customWidth="1"/>
    <col min="13315" max="13315" width="50.625" style="224" customWidth="1"/>
    <col min="13316" max="13316" width="22.125" style="224" customWidth="1"/>
    <col min="13317" max="13317" width="9.125" style="224" customWidth="1"/>
    <col min="13318" max="13318" width="10.625" style="224" customWidth="1"/>
    <col min="13319" max="13562" width="9.125" style="224" customWidth="1"/>
    <col min="13563" max="13563" width="4.25" style="224" bestFit="1" customWidth="1"/>
    <col min="13564" max="13564" width="24.625" style="224" customWidth="1"/>
    <col min="13565" max="13565" width="21.125" style="224" customWidth="1"/>
    <col min="13566" max="13566" width="35.125" style="224" customWidth="1"/>
    <col min="13567" max="13567" width="31.875" style="224" customWidth="1"/>
    <col min="13568" max="13568" width="18.125" style="224"/>
    <col min="13569" max="13569" width="7" style="224" customWidth="1"/>
    <col min="13570" max="13570" width="27.375" style="224" customWidth="1"/>
    <col min="13571" max="13571" width="50.625" style="224" customWidth="1"/>
    <col min="13572" max="13572" width="22.125" style="224" customWidth="1"/>
    <col min="13573" max="13573" width="9.125" style="224" customWidth="1"/>
    <col min="13574" max="13574" width="10.625" style="224" customWidth="1"/>
    <col min="13575" max="13818" width="9.125" style="224" customWidth="1"/>
    <col min="13819" max="13819" width="4.25" style="224" bestFit="1" customWidth="1"/>
    <col min="13820" max="13820" width="24.625" style="224" customWidth="1"/>
    <col min="13821" max="13821" width="21.125" style="224" customWidth="1"/>
    <col min="13822" max="13822" width="35.125" style="224" customWidth="1"/>
    <col min="13823" max="13823" width="31.875" style="224" customWidth="1"/>
    <col min="13824" max="13824" width="18.125" style="224"/>
    <col min="13825" max="13825" width="7" style="224" customWidth="1"/>
    <col min="13826" max="13826" width="27.375" style="224" customWidth="1"/>
    <col min="13827" max="13827" width="50.625" style="224" customWidth="1"/>
    <col min="13828" max="13828" width="22.125" style="224" customWidth="1"/>
    <col min="13829" max="13829" width="9.125" style="224" customWidth="1"/>
    <col min="13830" max="13830" width="10.625" style="224" customWidth="1"/>
    <col min="13831" max="14074" width="9.125" style="224" customWidth="1"/>
    <col min="14075" max="14075" width="4.25" style="224" bestFit="1" customWidth="1"/>
    <col min="14076" max="14076" width="24.625" style="224" customWidth="1"/>
    <col min="14077" max="14077" width="21.125" style="224" customWidth="1"/>
    <col min="14078" max="14078" width="35.125" style="224" customWidth="1"/>
    <col min="14079" max="14079" width="31.875" style="224" customWidth="1"/>
    <col min="14080" max="14080" width="18.125" style="224"/>
    <col min="14081" max="14081" width="7" style="224" customWidth="1"/>
    <col min="14082" max="14082" width="27.375" style="224" customWidth="1"/>
    <col min="14083" max="14083" width="50.625" style="224" customWidth="1"/>
    <col min="14084" max="14084" width="22.125" style="224" customWidth="1"/>
    <col min="14085" max="14085" width="9.125" style="224" customWidth="1"/>
    <col min="14086" max="14086" width="10.625" style="224" customWidth="1"/>
    <col min="14087" max="14330" width="9.125" style="224" customWidth="1"/>
    <col min="14331" max="14331" width="4.25" style="224" bestFit="1" customWidth="1"/>
    <col min="14332" max="14332" width="24.625" style="224" customWidth="1"/>
    <col min="14333" max="14333" width="21.125" style="224" customWidth="1"/>
    <col min="14334" max="14334" width="35.125" style="224" customWidth="1"/>
    <col min="14335" max="14335" width="31.875" style="224" customWidth="1"/>
    <col min="14336" max="14336" width="18.125" style="224"/>
    <col min="14337" max="14337" width="7" style="224" customWidth="1"/>
    <col min="14338" max="14338" width="27.375" style="224" customWidth="1"/>
    <col min="14339" max="14339" width="50.625" style="224" customWidth="1"/>
    <col min="14340" max="14340" width="22.125" style="224" customWidth="1"/>
    <col min="14341" max="14341" width="9.125" style="224" customWidth="1"/>
    <col min="14342" max="14342" width="10.625" style="224" customWidth="1"/>
    <col min="14343" max="14586" width="9.125" style="224" customWidth="1"/>
    <col min="14587" max="14587" width="4.25" style="224" bestFit="1" customWidth="1"/>
    <col min="14588" max="14588" width="24.625" style="224" customWidth="1"/>
    <col min="14589" max="14589" width="21.125" style="224" customWidth="1"/>
    <col min="14590" max="14590" width="35.125" style="224" customWidth="1"/>
    <col min="14591" max="14591" width="31.875" style="224" customWidth="1"/>
    <col min="14592" max="14592" width="18.125" style="224"/>
    <col min="14593" max="14593" width="7" style="224" customWidth="1"/>
    <col min="14594" max="14594" width="27.375" style="224" customWidth="1"/>
    <col min="14595" max="14595" width="50.625" style="224" customWidth="1"/>
    <col min="14596" max="14596" width="22.125" style="224" customWidth="1"/>
    <col min="14597" max="14597" width="9.125" style="224" customWidth="1"/>
    <col min="14598" max="14598" width="10.625" style="224" customWidth="1"/>
    <col min="14599" max="14842" width="9.125" style="224" customWidth="1"/>
    <col min="14843" max="14843" width="4.25" style="224" bestFit="1" customWidth="1"/>
    <col min="14844" max="14844" width="24.625" style="224" customWidth="1"/>
    <col min="14845" max="14845" width="21.125" style="224" customWidth="1"/>
    <col min="14846" max="14846" width="35.125" style="224" customWidth="1"/>
    <col min="14847" max="14847" width="31.875" style="224" customWidth="1"/>
    <col min="14848" max="14848" width="18.125" style="224"/>
    <col min="14849" max="14849" width="7" style="224" customWidth="1"/>
    <col min="14850" max="14850" width="27.375" style="224" customWidth="1"/>
    <col min="14851" max="14851" width="50.625" style="224" customWidth="1"/>
    <col min="14852" max="14852" width="22.125" style="224" customWidth="1"/>
    <col min="14853" max="14853" width="9.125" style="224" customWidth="1"/>
    <col min="14854" max="14854" width="10.625" style="224" customWidth="1"/>
    <col min="14855" max="15098" width="9.125" style="224" customWidth="1"/>
    <col min="15099" max="15099" width="4.25" style="224" bestFit="1" customWidth="1"/>
    <col min="15100" max="15100" width="24.625" style="224" customWidth="1"/>
    <col min="15101" max="15101" width="21.125" style="224" customWidth="1"/>
    <col min="15102" max="15102" width="35.125" style="224" customWidth="1"/>
    <col min="15103" max="15103" width="31.875" style="224" customWidth="1"/>
    <col min="15104" max="15104" width="18.125" style="224"/>
    <col min="15105" max="15105" width="7" style="224" customWidth="1"/>
    <col min="15106" max="15106" width="27.375" style="224" customWidth="1"/>
    <col min="15107" max="15107" width="50.625" style="224" customWidth="1"/>
    <col min="15108" max="15108" width="22.125" style="224" customWidth="1"/>
    <col min="15109" max="15109" width="9.125" style="224" customWidth="1"/>
    <col min="15110" max="15110" width="10.625" style="224" customWidth="1"/>
    <col min="15111" max="15354" width="9.125" style="224" customWidth="1"/>
    <col min="15355" max="15355" width="4.25" style="224" bestFit="1" customWidth="1"/>
    <col min="15356" max="15356" width="24.625" style="224" customWidth="1"/>
    <col min="15357" max="15357" width="21.125" style="224" customWidth="1"/>
    <col min="15358" max="15358" width="35.125" style="224" customWidth="1"/>
    <col min="15359" max="15359" width="31.875" style="224" customWidth="1"/>
    <col min="15360" max="15360" width="18.125" style="224"/>
    <col min="15361" max="15361" width="7" style="224" customWidth="1"/>
    <col min="15362" max="15362" width="27.375" style="224" customWidth="1"/>
    <col min="15363" max="15363" width="50.625" style="224" customWidth="1"/>
    <col min="15364" max="15364" width="22.125" style="224" customWidth="1"/>
    <col min="15365" max="15365" width="9.125" style="224" customWidth="1"/>
    <col min="15366" max="15366" width="10.625" style="224" customWidth="1"/>
    <col min="15367" max="15610" width="9.125" style="224" customWidth="1"/>
    <col min="15611" max="15611" width="4.25" style="224" bestFit="1" customWidth="1"/>
    <col min="15612" max="15612" width="24.625" style="224" customWidth="1"/>
    <col min="15613" max="15613" width="21.125" style="224" customWidth="1"/>
    <col min="15614" max="15614" width="35.125" style="224" customWidth="1"/>
    <col min="15615" max="15615" width="31.875" style="224" customWidth="1"/>
    <col min="15616" max="15616" width="18.125" style="224"/>
    <col min="15617" max="15617" width="7" style="224" customWidth="1"/>
    <col min="15618" max="15618" width="27.375" style="224" customWidth="1"/>
    <col min="15619" max="15619" width="50.625" style="224" customWidth="1"/>
    <col min="15620" max="15620" width="22.125" style="224" customWidth="1"/>
    <col min="15621" max="15621" width="9.125" style="224" customWidth="1"/>
    <col min="15622" max="15622" width="10.625" style="224" customWidth="1"/>
    <col min="15623" max="15866" width="9.125" style="224" customWidth="1"/>
    <col min="15867" max="15867" width="4.25" style="224" bestFit="1" customWidth="1"/>
    <col min="15868" max="15868" width="24.625" style="224" customWidth="1"/>
    <col min="15869" max="15869" width="21.125" style="224" customWidth="1"/>
    <col min="15870" max="15870" width="35.125" style="224" customWidth="1"/>
    <col min="15871" max="15871" width="31.875" style="224" customWidth="1"/>
    <col min="15872" max="15872" width="18.125" style="224"/>
    <col min="15873" max="15873" width="7" style="224" customWidth="1"/>
    <col min="15874" max="15874" width="27.375" style="224" customWidth="1"/>
    <col min="15875" max="15875" width="50.625" style="224" customWidth="1"/>
    <col min="15876" max="15876" width="22.125" style="224" customWidth="1"/>
    <col min="15877" max="15877" width="9.125" style="224" customWidth="1"/>
    <col min="15878" max="15878" width="10.625" style="224" customWidth="1"/>
    <col min="15879" max="16122" width="9.125" style="224" customWidth="1"/>
    <col min="16123" max="16123" width="4.25" style="224" bestFit="1" customWidth="1"/>
    <col min="16124" max="16124" width="24.625" style="224" customWidth="1"/>
    <col min="16125" max="16125" width="21.125" style="224" customWidth="1"/>
    <col min="16126" max="16126" width="35.125" style="224" customWidth="1"/>
    <col min="16127" max="16127" width="31.875" style="224" customWidth="1"/>
    <col min="16128" max="16128" width="18.125" style="224"/>
    <col min="16129" max="16129" width="7" style="224" customWidth="1"/>
    <col min="16130" max="16130" width="27.375" style="224" customWidth="1"/>
    <col min="16131" max="16131" width="50.625" style="224" customWidth="1"/>
    <col min="16132" max="16132" width="22.125" style="224" customWidth="1"/>
    <col min="16133" max="16133" width="9.125" style="224" customWidth="1"/>
    <col min="16134" max="16134" width="10.625" style="224" customWidth="1"/>
    <col min="16135" max="16378" width="9.125" style="224" customWidth="1"/>
    <col min="16379" max="16379" width="4.25" style="224" bestFit="1" customWidth="1"/>
    <col min="16380" max="16380" width="24.625" style="224" customWidth="1"/>
    <col min="16381" max="16381" width="21.125" style="224" customWidth="1"/>
    <col min="16382" max="16382" width="35.125" style="224" customWidth="1"/>
    <col min="16383" max="16383" width="31.875" style="224" customWidth="1"/>
    <col min="16384" max="16384" width="18.125" style="224"/>
  </cols>
  <sheetData>
    <row r="1" spans="1:256" ht="50.45" customHeight="1">
      <c r="A1" s="306" t="s">
        <v>359</v>
      </c>
      <c r="B1" s="306"/>
      <c r="C1" s="306"/>
      <c r="D1" s="306"/>
      <c r="E1" s="306"/>
    </row>
    <row r="2" spans="1:256">
      <c r="A2" s="313" t="str">
        <f>'Biểu tổng hợp'!A2:D2</f>
        <v>(Kèm theo Báo cáo thuyết minh của Ủy ban nhân dân tỉnh Bắc Kạn)</v>
      </c>
      <c r="B2" s="313"/>
      <c r="C2" s="313"/>
      <c r="D2" s="313"/>
      <c r="E2" s="313"/>
    </row>
    <row r="3" spans="1:256">
      <c r="A3" s="234"/>
      <c r="B3" s="234"/>
      <c r="C3" s="234"/>
      <c r="D3" s="312" t="s">
        <v>31</v>
      </c>
      <c r="E3" s="312"/>
    </row>
    <row r="4" spans="1:256" ht="44.25" customHeight="1">
      <c r="A4" s="185" t="s">
        <v>222</v>
      </c>
      <c r="B4" s="185" t="s">
        <v>223</v>
      </c>
      <c r="C4" s="185" t="s">
        <v>225</v>
      </c>
      <c r="D4" s="235" t="s">
        <v>360</v>
      </c>
      <c r="E4" s="185" t="s">
        <v>20</v>
      </c>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79"/>
      <c r="AL4" s="179"/>
      <c r="AM4" s="179"/>
      <c r="AN4" s="179"/>
      <c r="AO4" s="179"/>
      <c r="AP4" s="179"/>
      <c r="AQ4" s="179"/>
      <c r="AR4" s="179"/>
      <c r="AS4" s="179"/>
      <c r="AT4" s="179"/>
      <c r="AU4" s="179"/>
      <c r="AV4" s="179"/>
      <c r="AW4" s="179"/>
      <c r="AX4" s="179"/>
      <c r="AY4" s="179"/>
      <c r="AZ4" s="179"/>
      <c r="BA4" s="179"/>
      <c r="BB4" s="179"/>
      <c r="BC4" s="179"/>
      <c r="BD4" s="179"/>
      <c r="BE4" s="179"/>
      <c r="BF4" s="179"/>
      <c r="BG4" s="179"/>
      <c r="BH4" s="179"/>
      <c r="BI4" s="179"/>
      <c r="BJ4" s="179"/>
      <c r="BK4" s="179"/>
      <c r="BL4" s="179"/>
      <c r="BM4" s="179"/>
      <c r="BN4" s="179"/>
      <c r="BO4" s="179"/>
      <c r="BP4" s="179"/>
      <c r="BQ4" s="179"/>
      <c r="BR4" s="179"/>
      <c r="BS4" s="179"/>
      <c r="BT4" s="179"/>
      <c r="BU4" s="179"/>
      <c r="BV4" s="179"/>
      <c r="BW4" s="179"/>
      <c r="BX4" s="179"/>
      <c r="BY4" s="179"/>
      <c r="BZ4" s="179"/>
      <c r="CA4" s="179"/>
      <c r="CB4" s="179"/>
      <c r="CC4" s="179"/>
      <c r="CD4" s="179"/>
      <c r="CE4" s="179"/>
      <c r="CF4" s="179"/>
      <c r="CG4" s="179"/>
      <c r="CH4" s="179"/>
      <c r="CI4" s="179"/>
      <c r="CJ4" s="179"/>
      <c r="CK4" s="179"/>
      <c r="CL4" s="179"/>
      <c r="CM4" s="179"/>
      <c r="CN4" s="179"/>
      <c r="CO4" s="179"/>
      <c r="CP4" s="179"/>
      <c r="CQ4" s="179"/>
      <c r="CR4" s="179"/>
      <c r="CS4" s="179"/>
      <c r="CT4" s="179"/>
      <c r="CU4" s="179"/>
      <c r="CV4" s="179"/>
      <c r="CW4" s="179"/>
      <c r="CX4" s="179"/>
      <c r="CY4" s="179"/>
      <c r="CZ4" s="179"/>
      <c r="DA4" s="179"/>
      <c r="DB4" s="179"/>
      <c r="DC4" s="179"/>
      <c r="DD4" s="179"/>
      <c r="DE4" s="179"/>
      <c r="DF4" s="179"/>
      <c r="DG4" s="179"/>
      <c r="DH4" s="179"/>
      <c r="DI4" s="179"/>
      <c r="DJ4" s="179"/>
      <c r="DK4" s="179"/>
      <c r="DL4" s="179"/>
      <c r="DM4" s="179"/>
      <c r="DN4" s="179"/>
      <c r="DO4" s="179"/>
      <c r="DP4" s="179"/>
      <c r="DQ4" s="179"/>
      <c r="DR4" s="179"/>
      <c r="DS4" s="179"/>
      <c r="DT4" s="179"/>
      <c r="DU4" s="179"/>
      <c r="DV4" s="179"/>
      <c r="DW4" s="179"/>
      <c r="DX4" s="179"/>
      <c r="DY4" s="179"/>
      <c r="DZ4" s="179"/>
      <c r="EA4" s="179"/>
      <c r="EB4" s="179"/>
      <c r="EC4" s="179"/>
      <c r="ED4" s="179"/>
      <c r="EE4" s="179"/>
      <c r="EF4" s="179"/>
      <c r="EG4" s="179"/>
      <c r="EH4" s="179"/>
      <c r="EI4" s="179"/>
      <c r="EJ4" s="179"/>
      <c r="EK4" s="179"/>
      <c r="EL4" s="179"/>
      <c r="EM4" s="179"/>
      <c r="EN4" s="179"/>
      <c r="EO4" s="179"/>
      <c r="EP4" s="179"/>
      <c r="EQ4" s="179"/>
      <c r="ER4" s="179"/>
      <c r="ES4" s="179"/>
      <c r="ET4" s="179"/>
      <c r="EU4" s="179"/>
      <c r="EV4" s="179"/>
      <c r="EW4" s="179"/>
      <c r="EX4" s="179"/>
      <c r="EY4" s="179"/>
      <c r="EZ4" s="179"/>
      <c r="FA4" s="179"/>
      <c r="FB4" s="179"/>
      <c r="FC4" s="179"/>
      <c r="FD4" s="179"/>
      <c r="FE4" s="179"/>
      <c r="FF4" s="179"/>
      <c r="FG4" s="179"/>
      <c r="FH4" s="179"/>
      <c r="FI4" s="179"/>
      <c r="FJ4" s="179"/>
      <c r="FK4" s="179"/>
      <c r="FL4" s="179"/>
      <c r="FM4" s="179"/>
      <c r="FN4" s="179"/>
      <c r="FO4" s="179"/>
      <c r="FP4" s="179"/>
      <c r="FQ4" s="179"/>
      <c r="FR4" s="179"/>
      <c r="FS4" s="179"/>
      <c r="FT4" s="179"/>
      <c r="FU4" s="179"/>
      <c r="FV4" s="179"/>
      <c r="FW4" s="179"/>
      <c r="FX4" s="179"/>
      <c r="FY4" s="179"/>
      <c r="FZ4" s="179"/>
      <c r="GA4" s="179"/>
      <c r="GB4" s="179"/>
      <c r="GC4" s="179"/>
      <c r="GD4" s="179"/>
      <c r="GE4" s="179"/>
      <c r="GF4" s="179"/>
      <c r="GG4" s="179"/>
      <c r="GH4" s="179"/>
      <c r="GI4" s="179"/>
      <c r="GJ4" s="179"/>
      <c r="GK4" s="179"/>
      <c r="GL4" s="179"/>
      <c r="GM4" s="179"/>
      <c r="GN4" s="179"/>
      <c r="GO4" s="179"/>
      <c r="GP4" s="179"/>
      <c r="GQ4" s="179"/>
      <c r="GR4" s="179"/>
      <c r="GS4" s="179"/>
      <c r="GT4" s="179"/>
      <c r="GU4" s="179"/>
      <c r="GV4" s="179"/>
      <c r="GW4" s="179"/>
      <c r="GX4" s="179"/>
      <c r="GY4" s="179"/>
      <c r="GZ4" s="179"/>
      <c r="HA4" s="179"/>
      <c r="HB4" s="179"/>
      <c r="HC4" s="179"/>
      <c r="HD4" s="179"/>
      <c r="HE4" s="179"/>
      <c r="HF4" s="179"/>
      <c r="HG4" s="179"/>
      <c r="HH4" s="179"/>
      <c r="HI4" s="179"/>
      <c r="HJ4" s="179"/>
      <c r="HK4" s="179"/>
      <c r="HL4" s="179"/>
      <c r="HM4" s="179"/>
      <c r="HN4" s="179"/>
      <c r="HO4" s="179"/>
      <c r="HP4" s="179"/>
      <c r="HQ4" s="179"/>
      <c r="HR4" s="179"/>
      <c r="HS4" s="179"/>
      <c r="HT4" s="179"/>
      <c r="HU4" s="179"/>
      <c r="HV4" s="179"/>
      <c r="HW4" s="179"/>
      <c r="HX4" s="179"/>
      <c r="HY4" s="179"/>
      <c r="HZ4" s="179"/>
      <c r="IA4" s="179"/>
      <c r="IB4" s="179"/>
      <c r="IC4" s="179"/>
      <c r="ID4" s="179"/>
      <c r="IE4" s="179"/>
      <c r="IF4" s="179"/>
      <c r="IG4" s="179"/>
      <c r="IH4" s="179"/>
      <c r="II4" s="179"/>
      <c r="IJ4" s="179"/>
      <c r="IK4" s="179"/>
      <c r="IL4" s="179"/>
      <c r="IM4" s="179"/>
      <c r="IN4" s="179"/>
      <c r="IO4" s="179"/>
      <c r="IP4" s="179"/>
      <c r="IQ4" s="179"/>
      <c r="IR4" s="179"/>
      <c r="IS4" s="179"/>
      <c r="IT4" s="179"/>
      <c r="IU4" s="179"/>
      <c r="IV4" s="179"/>
    </row>
    <row r="5" spans="1:256" ht="23.25" customHeight="1">
      <c r="A5" s="185"/>
      <c r="B5" s="310" t="s">
        <v>361</v>
      </c>
      <c r="C5" s="310"/>
      <c r="D5" s="236">
        <f>D6+D10</f>
        <v>4446725000</v>
      </c>
      <c r="E5" s="247"/>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c r="AG5" s="178"/>
      <c r="AH5" s="178"/>
      <c r="AI5" s="178"/>
      <c r="AJ5" s="178"/>
      <c r="AK5" s="178"/>
      <c r="AL5" s="178"/>
      <c r="AM5" s="178"/>
      <c r="AN5" s="178"/>
      <c r="AO5" s="178"/>
      <c r="AP5" s="178"/>
      <c r="AQ5" s="178"/>
      <c r="AR5" s="178"/>
      <c r="AS5" s="178"/>
      <c r="AT5" s="178"/>
      <c r="AU5" s="178"/>
      <c r="AV5" s="178"/>
      <c r="AW5" s="178"/>
      <c r="AX5" s="178"/>
      <c r="AY5" s="178"/>
      <c r="AZ5" s="178"/>
      <c r="BA5" s="178"/>
      <c r="BB5" s="178"/>
      <c r="BC5" s="178"/>
      <c r="BD5" s="178"/>
      <c r="BE5" s="178"/>
      <c r="BF5" s="178"/>
      <c r="BG5" s="178"/>
      <c r="BH5" s="178"/>
      <c r="BI5" s="178"/>
      <c r="BJ5" s="178"/>
      <c r="BK5" s="178"/>
      <c r="BL5" s="178"/>
      <c r="BM5" s="178"/>
      <c r="BN5" s="178"/>
      <c r="BO5" s="178"/>
      <c r="BP5" s="178"/>
      <c r="BQ5" s="178"/>
      <c r="BR5" s="178"/>
      <c r="BS5" s="178"/>
      <c r="BT5" s="178"/>
      <c r="BU5" s="178"/>
      <c r="BV5" s="178"/>
      <c r="BW5" s="178"/>
      <c r="BX5" s="178"/>
      <c r="BY5" s="178"/>
      <c r="BZ5" s="178"/>
      <c r="CA5" s="178"/>
      <c r="CB5" s="178"/>
      <c r="CC5" s="178"/>
      <c r="CD5" s="178"/>
      <c r="CE5" s="178"/>
      <c r="CF5" s="178"/>
      <c r="CG5" s="178"/>
      <c r="CH5" s="178"/>
      <c r="CI5" s="178"/>
      <c r="CJ5" s="178"/>
      <c r="CK5" s="178"/>
      <c r="CL5" s="178"/>
      <c r="CM5" s="178"/>
      <c r="CN5" s="178"/>
      <c r="CO5" s="178"/>
      <c r="CP5" s="178"/>
      <c r="CQ5" s="178"/>
      <c r="CR5" s="178"/>
      <c r="CS5" s="178"/>
      <c r="CT5" s="178"/>
      <c r="CU5" s="178"/>
      <c r="CV5" s="178"/>
      <c r="CW5" s="178"/>
      <c r="CX5" s="178"/>
      <c r="CY5" s="178"/>
      <c r="CZ5" s="178"/>
      <c r="DA5" s="178"/>
      <c r="DB5" s="178"/>
      <c r="DC5" s="178"/>
      <c r="DD5" s="178"/>
      <c r="DE5" s="178"/>
      <c r="DF5" s="178"/>
      <c r="DG5" s="178"/>
      <c r="DH5" s="178"/>
      <c r="DI5" s="178"/>
      <c r="DJ5" s="178"/>
      <c r="DK5" s="178"/>
      <c r="DL5" s="178"/>
      <c r="DM5" s="178"/>
      <c r="DN5" s="178"/>
      <c r="DO5" s="178"/>
      <c r="DP5" s="178"/>
      <c r="DQ5" s="178"/>
      <c r="DR5" s="178"/>
      <c r="DS5" s="178"/>
      <c r="DT5" s="178"/>
      <c r="DU5" s="178"/>
      <c r="DV5" s="178"/>
      <c r="DW5" s="178"/>
      <c r="DX5" s="178"/>
      <c r="DY5" s="178"/>
      <c r="DZ5" s="178"/>
      <c r="EA5" s="178"/>
      <c r="EB5" s="178"/>
      <c r="EC5" s="178"/>
      <c r="ED5" s="178"/>
      <c r="EE5" s="178"/>
      <c r="EF5" s="178"/>
      <c r="EG5" s="178"/>
      <c r="EH5" s="178"/>
      <c r="EI5" s="178"/>
      <c r="EJ5" s="178"/>
      <c r="EK5" s="178"/>
      <c r="EL5" s="178"/>
      <c r="EM5" s="178"/>
      <c r="EN5" s="178"/>
      <c r="EO5" s="178"/>
      <c r="EP5" s="178"/>
      <c r="EQ5" s="178"/>
      <c r="ER5" s="178"/>
      <c r="ES5" s="178"/>
      <c r="ET5" s="178"/>
      <c r="EU5" s="178"/>
      <c r="EV5" s="178"/>
      <c r="EW5" s="178"/>
      <c r="EX5" s="178"/>
      <c r="EY5" s="178"/>
      <c r="EZ5" s="178"/>
      <c r="FA5" s="178"/>
      <c r="FB5" s="178"/>
      <c r="FC5" s="178"/>
      <c r="FD5" s="178"/>
      <c r="FE5" s="178"/>
      <c r="FF5" s="178"/>
      <c r="FG5" s="178"/>
      <c r="FH5" s="178"/>
      <c r="FI5" s="178"/>
      <c r="FJ5" s="178"/>
      <c r="FK5" s="178"/>
      <c r="FL5" s="178"/>
      <c r="FM5" s="178"/>
      <c r="FN5" s="178"/>
      <c r="FO5" s="178"/>
      <c r="FP5" s="178"/>
      <c r="FQ5" s="178"/>
      <c r="FR5" s="178"/>
      <c r="FS5" s="178"/>
      <c r="FT5" s="178"/>
      <c r="FU5" s="178"/>
      <c r="FV5" s="178"/>
      <c r="FW5" s="178"/>
      <c r="FX5" s="178"/>
      <c r="FY5" s="178"/>
      <c r="FZ5" s="178"/>
      <c r="GA5" s="178"/>
      <c r="GB5" s="178"/>
      <c r="GC5" s="178"/>
      <c r="GD5" s="178"/>
      <c r="GE5" s="178"/>
      <c r="GF5" s="178"/>
      <c r="GG5" s="178"/>
      <c r="GH5" s="178"/>
      <c r="GI5" s="178"/>
      <c r="GJ5" s="178"/>
      <c r="GK5" s="178"/>
      <c r="GL5" s="178"/>
      <c r="GM5" s="178"/>
      <c r="GN5" s="178"/>
      <c r="GO5" s="178"/>
      <c r="GP5" s="178"/>
      <c r="GQ5" s="178"/>
      <c r="GR5" s="178"/>
      <c r="GS5" s="178"/>
      <c r="GT5" s="178"/>
      <c r="GU5" s="178"/>
      <c r="GV5" s="178"/>
      <c r="GW5" s="178"/>
      <c r="GX5" s="178"/>
      <c r="GY5" s="178"/>
      <c r="GZ5" s="178"/>
      <c r="HA5" s="178"/>
      <c r="HB5" s="178"/>
      <c r="HC5" s="178"/>
      <c r="HD5" s="178"/>
      <c r="HE5" s="178"/>
      <c r="HF5" s="178"/>
      <c r="HG5" s="178"/>
      <c r="HH5" s="178"/>
      <c r="HI5" s="178"/>
      <c r="HJ5" s="178"/>
      <c r="HK5" s="178"/>
      <c r="HL5" s="178"/>
      <c r="HM5" s="178"/>
      <c r="HN5" s="178"/>
      <c r="HO5" s="178"/>
      <c r="HP5" s="178"/>
      <c r="HQ5" s="178"/>
      <c r="HR5" s="178"/>
      <c r="HS5" s="178"/>
      <c r="HT5" s="178"/>
      <c r="HU5" s="178"/>
      <c r="HV5" s="178"/>
      <c r="HW5" s="178"/>
      <c r="HX5" s="178"/>
      <c r="HY5" s="178"/>
      <c r="HZ5" s="178"/>
      <c r="IA5" s="178"/>
      <c r="IB5" s="178"/>
      <c r="IC5" s="178"/>
      <c r="ID5" s="178"/>
      <c r="IE5" s="178"/>
      <c r="IF5" s="178"/>
      <c r="IG5" s="178"/>
      <c r="IH5" s="178"/>
      <c r="II5" s="178"/>
      <c r="IJ5" s="178"/>
      <c r="IK5" s="178"/>
      <c r="IL5" s="178"/>
      <c r="IM5" s="178"/>
      <c r="IN5" s="178"/>
      <c r="IO5" s="178"/>
      <c r="IP5" s="178"/>
      <c r="IQ5" s="178"/>
      <c r="IR5" s="178"/>
      <c r="IS5" s="178"/>
      <c r="IT5" s="178"/>
      <c r="IU5" s="178"/>
      <c r="IV5" s="178"/>
    </row>
    <row r="6" spans="1:256" ht="23.25" customHeight="1">
      <c r="A6" s="185" t="s">
        <v>42</v>
      </c>
      <c r="B6" s="309" t="s">
        <v>362</v>
      </c>
      <c r="C6" s="309"/>
      <c r="D6" s="236">
        <f>D7</f>
        <v>626522000</v>
      </c>
      <c r="E6" s="248"/>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0"/>
      <c r="AN6" s="190"/>
      <c r="AO6" s="190"/>
      <c r="AP6" s="190"/>
      <c r="AQ6" s="190"/>
      <c r="AR6" s="190"/>
      <c r="AS6" s="190"/>
      <c r="AT6" s="190"/>
      <c r="AU6" s="190"/>
      <c r="AV6" s="190"/>
      <c r="AW6" s="190"/>
      <c r="AX6" s="190"/>
      <c r="AY6" s="190"/>
      <c r="AZ6" s="190"/>
      <c r="BA6" s="190"/>
      <c r="BB6" s="190"/>
      <c r="BC6" s="190"/>
      <c r="BD6" s="190"/>
      <c r="BE6" s="190"/>
      <c r="BF6" s="190"/>
      <c r="BG6" s="190"/>
      <c r="BH6" s="190"/>
      <c r="BI6" s="190"/>
      <c r="BJ6" s="190"/>
      <c r="BK6" s="190"/>
      <c r="BL6" s="190"/>
      <c r="BM6" s="190"/>
      <c r="BN6" s="190"/>
      <c r="BO6" s="190"/>
      <c r="BP6" s="190"/>
      <c r="BQ6" s="190"/>
      <c r="BR6" s="190"/>
      <c r="BS6" s="190"/>
      <c r="BT6" s="190"/>
      <c r="BU6" s="190"/>
      <c r="BV6" s="190"/>
      <c r="BW6" s="190"/>
      <c r="BX6" s="190"/>
      <c r="BY6" s="190"/>
      <c r="BZ6" s="190"/>
      <c r="CA6" s="190"/>
      <c r="CB6" s="190"/>
      <c r="CC6" s="190"/>
      <c r="CD6" s="190"/>
      <c r="CE6" s="190"/>
      <c r="CF6" s="190"/>
      <c r="CG6" s="190"/>
      <c r="CH6" s="190"/>
      <c r="CI6" s="190"/>
      <c r="CJ6" s="190"/>
      <c r="CK6" s="190"/>
      <c r="CL6" s="190"/>
      <c r="CM6" s="190"/>
      <c r="CN6" s="190"/>
      <c r="CO6" s="190"/>
      <c r="CP6" s="190"/>
      <c r="CQ6" s="190"/>
      <c r="CR6" s="190"/>
      <c r="CS6" s="190"/>
      <c r="CT6" s="190"/>
      <c r="CU6" s="190"/>
      <c r="CV6" s="190"/>
      <c r="CW6" s="190"/>
      <c r="CX6" s="190"/>
      <c r="CY6" s="190"/>
      <c r="CZ6" s="190"/>
      <c r="DA6" s="190"/>
      <c r="DB6" s="190"/>
      <c r="DC6" s="190"/>
      <c r="DD6" s="190"/>
      <c r="DE6" s="190"/>
      <c r="DF6" s="190"/>
      <c r="DG6" s="190"/>
      <c r="DH6" s="190"/>
      <c r="DI6" s="190"/>
      <c r="DJ6" s="190"/>
      <c r="DK6" s="190"/>
      <c r="DL6" s="190"/>
      <c r="DM6" s="190"/>
      <c r="DN6" s="190"/>
      <c r="DO6" s="190"/>
      <c r="DP6" s="190"/>
      <c r="DQ6" s="190"/>
      <c r="DR6" s="190"/>
      <c r="DS6" s="190"/>
      <c r="DT6" s="190"/>
      <c r="DU6" s="190"/>
      <c r="DV6" s="190"/>
      <c r="DW6" s="190"/>
      <c r="DX6" s="190"/>
      <c r="DY6" s="190"/>
      <c r="DZ6" s="190"/>
      <c r="EA6" s="190"/>
      <c r="EB6" s="190"/>
      <c r="EC6" s="190"/>
      <c r="ED6" s="190"/>
      <c r="EE6" s="190"/>
      <c r="EF6" s="190"/>
      <c r="EG6" s="190"/>
      <c r="EH6" s="190"/>
      <c r="EI6" s="190"/>
      <c r="EJ6" s="190"/>
      <c r="EK6" s="190"/>
      <c r="EL6" s="190"/>
      <c r="EM6" s="190"/>
      <c r="EN6" s="190"/>
      <c r="EO6" s="190"/>
      <c r="EP6" s="190"/>
      <c r="EQ6" s="190"/>
      <c r="ER6" s="190"/>
      <c r="ES6" s="190"/>
      <c r="ET6" s="190"/>
      <c r="EU6" s="190"/>
      <c r="EV6" s="190"/>
      <c r="EW6" s="190"/>
      <c r="EX6" s="190"/>
      <c r="EY6" s="190"/>
      <c r="EZ6" s="190"/>
      <c r="FA6" s="190"/>
      <c r="FB6" s="190"/>
      <c r="FC6" s="190"/>
      <c r="FD6" s="190"/>
      <c r="FE6" s="190"/>
      <c r="FF6" s="190"/>
      <c r="FG6" s="190"/>
      <c r="FH6" s="190"/>
      <c r="FI6" s="190"/>
      <c r="FJ6" s="190"/>
      <c r="FK6" s="190"/>
      <c r="FL6" s="190"/>
      <c r="FM6" s="190"/>
      <c r="FN6" s="190"/>
      <c r="FO6" s="190"/>
      <c r="FP6" s="190"/>
      <c r="FQ6" s="190"/>
      <c r="FR6" s="190"/>
      <c r="FS6" s="190"/>
      <c r="FT6" s="190"/>
      <c r="FU6" s="190"/>
      <c r="FV6" s="190"/>
      <c r="FW6" s="190"/>
      <c r="FX6" s="190"/>
      <c r="FY6" s="190"/>
      <c r="FZ6" s="190"/>
      <c r="GA6" s="190"/>
      <c r="GB6" s="190"/>
      <c r="GC6" s="190"/>
      <c r="GD6" s="190"/>
      <c r="GE6" s="190"/>
      <c r="GF6" s="190"/>
      <c r="GG6" s="190"/>
      <c r="GH6" s="190"/>
      <c r="GI6" s="190"/>
      <c r="GJ6" s="190"/>
      <c r="GK6" s="190"/>
      <c r="GL6" s="190"/>
      <c r="GM6" s="190"/>
      <c r="GN6" s="190"/>
      <c r="GO6" s="190"/>
      <c r="GP6" s="190"/>
      <c r="GQ6" s="190"/>
      <c r="GR6" s="190"/>
      <c r="GS6" s="190"/>
      <c r="GT6" s="190"/>
      <c r="GU6" s="190"/>
      <c r="GV6" s="190"/>
      <c r="GW6" s="190"/>
      <c r="GX6" s="190"/>
      <c r="GY6" s="190"/>
      <c r="GZ6" s="190"/>
      <c r="HA6" s="190"/>
      <c r="HB6" s="190"/>
      <c r="HC6" s="190"/>
      <c r="HD6" s="190"/>
      <c r="HE6" s="190"/>
      <c r="HF6" s="190"/>
      <c r="HG6" s="190"/>
      <c r="HH6" s="190"/>
      <c r="HI6" s="190"/>
      <c r="HJ6" s="190"/>
      <c r="HK6" s="190"/>
      <c r="HL6" s="190"/>
      <c r="HM6" s="190"/>
      <c r="HN6" s="190"/>
      <c r="HO6" s="190"/>
      <c r="HP6" s="190"/>
      <c r="HQ6" s="190"/>
      <c r="HR6" s="190"/>
      <c r="HS6" s="190"/>
      <c r="HT6" s="190"/>
      <c r="HU6" s="190"/>
      <c r="HV6" s="190"/>
      <c r="HW6" s="190"/>
      <c r="HX6" s="190"/>
      <c r="HY6" s="190"/>
      <c r="HZ6" s="190"/>
      <c r="IA6" s="190"/>
      <c r="IB6" s="190"/>
      <c r="IC6" s="190"/>
      <c r="ID6" s="190"/>
      <c r="IE6" s="190"/>
      <c r="IF6" s="190"/>
      <c r="IG6" s="190"/>
      <c r="IH6" s="190"/>
      <c r="II6" s="190"/>
      <c r="IJ6" s="190"/>
      <c r="IK6" s="190"/>
      <c r="IL6" s="190"/>
      <c r="IM6" s="190"/>
      <c r="IN6" s="190"/>
      <c r="IO6" s="190"/>
      <c r="IP6" s="190"/>
      <c r="IQ6" s="190"/>
      <c r="IR6" s="190"/>
      <c r="IS6" s="190"/>
      <c r="IT6" s="190"/>
      <c r="IU6" s="190"/>
      <c r="IV6" s="190"/>
    </row>
    <row r="7" spans="1:256" ht="23.25" customHeight="1">
      <c r="A7" s="185">
        <v>1</v>
      </c>
      <c r="B7" s="309" t="s">
        <v>363</v>
      </c>
      <c r="C7" s="309"/>
      <c r="D7" s="236">
        <f>D8+D9</f>
        <v>626522000</v>
      </c>
      <c r="E7" s="248"/>
      <c r="F7" s="190"/>
      <c r="G7" s="190"/>
      <c r="H7" s="190"/>
      <c r="I7" s="190"/>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0"/>
      <c r="AK7" s="190"/>
      <c r="AL7" s="190"/>
      <c r="AM7" s="190"/>
      <c r="AN7" s="190"/>
      <c r="AO7" s="190"/>
      <c r="AP7" s="190"/>
      <c r="AQ7" s="190"/>
      <c r="AR7" s="190"/>
      <c r="AS7" s="190"/>
      <c r="AT7" s="190"/>
      <c r="AU7" s="190"/>
      <c r="AV7" s="190"/>
      <c r="AW7" s="190"/>
      <c r="AX7" s="190"/>
      <c r="AY7" s="190"/>
      <c r="AZ7" s="190"/>
      <c r="BA7" s="190"/>
      <c r="BB7" s="190"/>
      <c r="BC7" s="190"/>
      <c r="BD7" s="190"/>
      <c r="BE7" s="190"/>
      <c r="BF7" s="190"/>
      <c r="BG7" s="190"/>
      <c r="BH7" s="190"/>
      <c r="BI7" s="190"/>
      <c r="BJ7" s="190"/>
      <c r="BK7" s="190"/>
      <c r="BL7" s="190"/>
      <c r="BM7" s="190"/>
      <c r="BN7" s="190"/>
      <c r="BO7" s="190"/>
      <c r="BP7" s="190"/>
      <c r="BQ7" s="190"/>
      <c r="BR7" s="190"/>
      <c r="BS7" s="190"/>
      <c r="BT7" s="190"/>
      <c r="BU7" s="190"/>
      <c r="BV7" s="190"/>
      <c r="BW7" s="190"/>
      <c r="BX7" s="190"/>
      <c r="BY7" s="190"/>
      <c r="BZ7" s="190"/>
      <c r="CA7" s="190"/>
      <c r="CB7" s="190"/>
      <c r="CC7" s="190"/>
      <c r="CD7" s="190"/>
      <c r="CE7" s="190"/>
      <c r="CF7" s="190"/>
      <c r="CG7" s="190"/>
      <c r="CH7" s="190"/>
      <c r="CI7" s="190"/>
      <c r="CJ7" s="190"/>
      <c r="CK7" s="190"/>
      <c r="CL7" s="190"/>
      <c r="CM7" s="190"/>
      <c r="CN7" s="190"/>
      <c r="CO7" s="190"/>
      <c r="CP7" s="190"/>
      <c r="CQ7" s="190"/>
      <c r="CR7" s="190"/>
      <c r="CS7" s="190"/>
      <c r="CT7" s="190"/>
      <c r="CU7" s="190"/>
      <c r="CV7" s="190"/>
      <c r="CW7" s="190"/>
      <c r="CX7" s="190"/>
      <c r="CY7" s="190"/>
      <c r="CZ7" s="190"/>
      <c r="DA7" s="190"/>
      <c r="DB7" s="190"/>
      <c r="DC7" s="190"/>
      <c r="DD7" s="190"/>
      <c r="DE7" s="190"/>
      <c r="DF7" s="190"/>
      <c r="DG7" s="190"/>
      <c r="DH7" s="190"/>
      <c r="DI7" s="190"/>
      <c r="DJ7" s="190"/>
      <c r="DK7" s="190"/>
      <c r="DL7" s="190"/>
      <c r="DM7" s="190"/>
      <c r="DN7" s="190"/>
      <c r="DO7" s="190"/>
      <c r="DP7" s="190"/>
      <c r="DQ7" s="190"/>
      <c r="DR7" s="190"/>
      <c r="DS7" s="190"/>
      <c r="DT7" s="190"/>
      <c r="DU7" s="190"/>
      <c r="DV7" s="190"/>
      <c r="DW7" s="190"/>
      <c r="DX7" s="190"/>
      <c r="DY7" s="190"/>
      <c r="DZ7" s="190"/>
      <c r="EA7" s="190"/>
      <c r="EB7" s="190"/>
      <c r="EC7" s="190"/>
      <c r="ED7" s="190"/>
      <c r="EE7" s="190"/>
      <c r="EF7" s="190"/>
      <c r="EG7" s="190"/>
      <c r="EH7" s="190"/>
      <c r="EI7" s="190"/>
      <c r="EJ7" s="190"/>
      <c r="EK7" s="190"/>
      <c r="EL7" s="190"/>
      <c r="EM7" s="190"/>
      <c r="EN7" s="190"/>
      <c r="EO7" s="190"/>
      <c r="EP7" s="190"/>
      <c r="EQ7" s="190"/>
      <c r="ER7" s="190"/>
      <c r="ES7" s="190"/>
      <c r="ET7" s="190"/>
      <c r="EU7" s="190"/>
      <c r="EV7" s="190"/>
      <c r="EW7" s="190"/>
      <c r="EX7" s="190"/>
      <c r="EY7" s="190"/>
      <c r="EZ7" s="190"/>
      <c r="FA7" s="190"/>
      <c r="FB7" s="190"/>
      <c r="FC7" s="190"/>
      <c r="FD7" s="190"/>
      <c r="FE7" s="190"/>
      <c r="FF7" s="190"/>
      <c r="FG7" s="190"/>
      <c r="FH7" s="190"/>
      <c r="FI7" s="190"/>
      <c r="FJ7" s="190"/>
      <c r="FK7" s="190"/>
      <c r="FL7" s="190"/>
      <c r="FM7" s="190"/>
      <c r="FN7" s="190"/>
      <c r="FO7" s="190"/>
      <c r="FP7" s="190"/>
      <c r="FQ7" s="190"/>
      <c r="FR7" s="190"/>
      <c r="FS7" s="190"/>
      <c r="FT7" s="190"/>
      <c r="FU7" s="190"/>
      <c r="FV7" s="190"/>
      <c r="FW7" s="190"/>
      <c r="FX7" s="190"/>
      <c r="FY7" s="190"/>
      <c r="FZ7" s="190"/>
      <c r="GA7" s="190"/>
      <c r="GB7" s="190"/>
      <c r="GC7" s="190"/>
      <c r="GD7" s="190"/>
      <c r="GE7" s="190"/>
      <c r="GF7" s="190"/>
      <c r="GG7" s="190"/>
      <c r="GH7" s="190"/>
      <c r="GI7" s="190"/>
      <c r="GJ7" s="190"/>
      <c r="GK7" s="190"/>
      <c r="GL7" s="190"/>
      <c r="GM7" s="190"/>
      <c r="GN7" s="190"/>
      <c r="GO7" s="190"/>
      <c r="GP7" s="190"/>
      <c r="GQ7" s="190"/>
      <c r="GR7" s="190"/>
      <c r="GS7" s="190"/>
      <c r="GT7" s="190"/>
      <c r="GU7" s="190"/>
      <c r="GV7" s="190"/>
      <c r="GW7" s="190"/>
      <c r="GX7" s="190"/>
      <c r="GY7" s="190"/>
      <c r="GZ7" s="190"/>
      <c r="HA7" s="190"/>
      <c r="HB7" s="190"/>
      <c r="HC7" s="190"/>
      <c r="HD7" s="190"/>
      <c r="HE7" s="190"/>
      <c r="HF7" s="190"/>
      <c r="HG7" s="190"/>
      <c r="HH7" s="190"/>
      <c r="HI7" s="190"/>
      <c r="HJ7" s="190"/>
      <c r="HK7" s="190"/>
      <c r="HL7" s="190"/>
      <c r="HM7" s="190"/>
      <c r="HN7" s="190"/>
      <c r="HO7" s="190"/>
      <c r="HP7" s="190"/>
      <c r="HQ7" s="190"/>
      <c r="HR7" s="190"/>
      <c r="HS7" s="190"/>
      <c r="HT7" s="190"/>
      <c r="HU7" s="190"/>
      <c r="HV7" s="190"/>
      <c r="HW7" s="190"/>
      <c r="HX7" s="190"/>
      <c r="HY7" s="190"/>
      <c r="HZ7" s="190"/>
      <c r="IA7" s="190"/>
      <c r="IB7" s="190"/>
      <c r="IC7" s="190"/>
      <c r="ID7" s="190"/>
      <c r="IE7" s="190"/>
      <c r="IF7" s="190"/>
      <c r="IG7" s="190"/>
      <c r="IH7" s="190"/>
      <c r="II7" s="190"/>
      <c r="IJ7" s="190"/>
      <c r="IK7" s="190"/>
      <c r="IL7" s="190"/>
      <c r="IM7" s="190"/>
      <c r="IN7" s="190"/>
      <c r="IO7" s="190"/>
      <c r="IP7" s="190"/>
      <c r="IQ7" s="190"/>
      <c r="IR7" s="190"/>
      <c r="IS7" s="190"/>
      <c r="IT7" s="190"/>
      <c r="IU7" s="190"/>
      <c r="IV7" s="190"/>
    </row>
    <row r="8" spans="1:256" ht="39.75" customHeight="1">
      <c r="A8" s="237" t="s">
        <v>146</v>
      </c>
      <c r="B8" s="238" t="s">
        <v>364</v>
      </c>
      <c r="C8" s="239" t="s">
        <v>365</v>
      </c>
      <c r="D8" s="240">
        <f>'[2]02 TTr UBND'!Q14</f>
        <v>313261000</v>
      </c>
      <c r="E8" s="307" t="s">
        <v>394</v>
      </c>
      <c r="F8" s="241"/>
      <c r="G8" s="241"/>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1"/>
      <c r="AY8" s="241"/>
      <c r="AZ8" s="241"/>
      <c r="BA8" s="241"/>
      <c r="BB8" s="241"/>
      <c r="BC8" s="241"/>
      <c r="BD8" s="241"/>
      <c r="BE8" s="241"/>
      <c r="BF8" s="241"/>
      <c r="BG8" s="241"/>
      <c r="BH8" s="241"/>
      <c r="BI8" s="241"/>
      <c r="BJ8" s="241"/>
      <c r="BK8" s="241"/>
      <c r="BL8" s="241"/>
      <c r="BM8" s="241"/>
      <c r="BN8" s="241"/>
      <c r="BO8" s="241"/>
      <c r="BP8" s="241"/>
      <c r="BQ8" s="241"/>
      <c r="BR8" s="241"/>
      <c r="BS8" s="241"/>
      <c r="BT8" s="241"/>
      <c r="BU8" s="241"/>
      <c r="BV8" s="241"/>
      <c r="BW8" s="241"/>
      <c r="BX8" s="241"/>
      <c r="BY8" s="241"/>
      <c r="BZ8" s="241"/>
      <c r="CA8" s="241"/>
      <c r="CB8" s="241"/>
      <c r="CC8" s="241"/>
      <c r="CD8" s="241"/>
      <c r="CE8" s="241"/>
      <c r="CF8" s="241"/>
      <c r="CG8" s="241"/>
      <c r="CH8" s="241"/>
      <c r="CI8" s="241"/>
      <c r="CJ8" s="241"/>
      <c r="CK8" s="241"/>
      <c r="CL8" s="241"/>
      <c r="CM8" s="241"/>
      <c r="CN8" s="241"/>
      <c r="CO8" s="241"/>
      <c r="CP8" s="241"/>
      <c r="CQ8" s="241"/>
      <c r="CR8" s="241"/>
      <c r="CS8" s="241"/>
      <c r="CT8" s="241"/>
      <c r="CU8" s="241"/>
      <c r="CV8" s="241"/>
      <c r="CW8" s="241"/>
      <c r="CX8" s="241"/>
      <c r="CY8" s="241"/>
      <c r="CZ8" s="241"/>
      <c r="DA8" s="241"/>
      <c r="DB8" s="241"/>
      <c r="DC8" s="241"/>
      <c r="DD8" s="241"/>
      <c r="DE8" s="241"/>
      <c r="DF8" s="241"/>
      <c r="DG8" s="241"/>
      <c r="DH8" s="241"/>
      <c r="DI8" s="241"/>
      <c r="DJ8" s="241"/>
      <c r="DK8" s="241"/>
      <c r="DL8" s="241"/>
      <c r="DM8" s="241"/>
      <c r="DN8" s="241"/>
      <c r="DO8" s="241"/>
      <c r="DP8" s="241"/>
      <c r="DQ8" s="241"/>
      <c r="DR8" s="241"/>
      <c r="DS8" s="241"/>
      <c r="DT8" s="241"/>
      <c r="DU8" s="241"/>
      <c r="DV8" s="241"/>
      <c r="DW8" s="241"/>
      <c r="DX8" s="241"/>
      <c r="DY8" s="241"/>
      <c r="DZ8" s="241"/>
      <c r="EA8" s="241"/>
      <c r="EB8" s="241"/>
      <c r="EC8" s="241"/>
      <c r="ED8" s="241"/>
      <c r="EE8" s="241"/>
      <c r="EF8" s="241"/>
      <c r="EG8" s="241"/>
      <c r="EH8" s="241"/>
      <c r="EI8" s="241"/>
      <c r="EJ8" s="241"/>
      <c r="EK8" s="241"/>
      <c r="EL8" s="241"/>
      <c r="EM8" s="241"/>
      <c r="EN8" s="241"/>
      <c r="EO8" s="241"/>
      <c r="EP8" s="241"/>
      <c r="EQ8" s="241"/>
      <c r="ER8" s="241"/>
      <c r="ES8" s="241"/>
      <c r="ET8" s="241"/>
      <c r="EU8" s="241"/>
      <c r="EV8" s="241"/>
      <c r="EW8" s="241"/>
      <c r="EX8" s="241"/>
      <c r="EY8" s="241"/>
      <c r="EZ8" s="241"/>
      <c r="FA8" s="241"/>
      <c r="FB8" s="241"/>
      <c r="FC8" s="241"/>
      <c r="FD8" s="241"/>
      <c r="FE8" s="241"/>
      <c r="FF8" s="241"/>
      <c r="FG8" s="241"/>
      <c r="FH8" s="241"/>
      <c r="FI8" s="241"/>
      <c r="FJ8" s="241"/>
      <c r="FK8" s="241"/>
      <c r="FL8" s="241"/>
      <c r="FM8" s="241"/>
      <c r="FN8" s="241"/>
      <c r="FO8" s="241"/>
      <c r="FP8" s="241"/>
      <c r="FQ8" s="241"/>
      <c r="FR8" s="241"/>
      <c r="FS8" s="241"/>
      <c r="FT8" s="241"/>
      <c r="FU8" s="241"/>
      <c r="FV8" s="241"/>
      <c r="FW8" s="241"/>
      <c r="FX8" s="241"/>
      <c r="FY8" s="241"/>
      <c r="FZ8" s="241"/>
      <c r="GA8" s="241"/>
      <c r="GB8" s="241"/>
      <c r="GC8" s="241"/>
      <c r="GD8" s="241"/>
      <c r="GE8" s="241"/>
      <c r="GF8" s="241"/>
      <c r="GG8" s="241"/>
      <c r="GH8" s="241"/>
      <c r="GI8" s="241"/>
      <c r="GJ8" s="241"/>
      <c r="GK8" s="241"/>
      <c r="GL8" s="241"/>
      <c r="GM8" s="241"/>
      <c r="GN8" s="241"/>
      <c r="GO8" s="241"/>
      <c r="GP8" s="241"/>
      <c r="GQ8" s="241"/>
      <c r="GR8" s="241"/>
      <c r="GS8" s="241"/>
      <c r="GT8" s="241"/>
      <c r="GU8" s="241"/>
      <c r="GV8" s="241"/>
      <c r="GW8" s="241"/>
      <c r="GX8" s="241"/>
      <c r="GY8" s="241"/>
      <c r="GZ8" s="241"/>
      <c r="HA8" s="241"/>
      <c r="HB8" s="241"/>
      <c r="HC8" s="241"/>
      <c r="HD8" s="241"/>
      <c r="HE8" s="241"/>
      <c r="HF8" s="241"/>
      <c r="HG8" s="241"/>
      <c r="HH8" s="241"/>
      <c r="HI8" s="241"/>
      <c r="HJ8" s="241"/>
      <c r="HK8" s="241"/>
      <c r="HL8" s="241"/>
      <c r="HM8" s="241"/>
      <c r="HN8" s="241"/>
      <c r="HO8" s="241"/>
      <c r="HP8" s="241"/>
      <c r="HQ8" s="241"/>
      <c r="HR8" s="241"/>
      <c r="HS8" s="241"/>
      <c r="HT8" s="241"/>
      <c r="HU8" s="241"/>
      <c r="HV8" s="241"/>
      <c r="HW8" s="241"/>
      <c r="HX8" s="241"/>
      <c r="HY8" s="241"/>
      <c r="HZ8" s="241"/>
      <c r="IA8" s="241"/>
      <c r="IB8" s="241"/>
      <c r="IC8" s="241"/>
      <c r="ID8" s="241"/>
      <c r="IE8" s="241"/>
      <c r="IF8" s="241"/>
      <c r="IG8" s="241"/>
      <c r="IH8" s="241"/>
      <c r="II8" s="241"/>
      <c r="IJ8" s="241"/>
      <c r="IK8" s="241"/>
      <c r="IL8" s="241"/>
      <c r="IM8" s="241"/>
      <c r="IN8" s="241"/>
      <c r="IO8" s="241"/>
      <c r="IP8" s="241"/>
      <c r="IQ8" s="241"/>
      <c r="IR8" s="241"/>
      <c r="IS8" s="241"/>
      <c r="IT8" s="241"/>
      <c r="IU8" s="241"/>
      <c r="IV8" s="241"/>
    </row>
    <row r="9" spans="1:256" ht="31.5">
      <c r="A9" s="242" t="s">
        <v>148</v>
      </c>
      <c r="B9" s="243" t="s">
        <v>366</v>
      </c>
      <c r="C9" s="244" t="s">
        <v>367</v>
      </c>
      <c r="D9" s="245">
        <f>'[2]02 TTr UBND'!Q19</f>
        <v>313261000</v>
      </c>
      <c r="E9" s="308"/>
      <c r="F9" s="241"/>
      <c r="G9" s="241"/>
      <c r="H9" s="241"/>
      <c r="I9" s="241"/>
      <c r="J9" s="241"/>
      <c r="K9" s="241"/>
      <c r="L9" s="241"/>
      <c r="M9" s="241"/>
      <c r="N9" s="241"/>
      <c r="O9" s="241"/>
      <c r="P9" s="241"/>
      <c r="Q9" s="241"/>
      <c r="R9" s="241"/>
      <c r="S9" s="241"/>
      <c r="T9" s="241"/>
      <c r="U9" s="241"/>
      <c r="V9" s="241"/>
      <c r="W9" s="241"/>
      <c r="X9" s="241"/>
      <c r="Y9" s="241"/>
      <c r="Z9" s="241"/>
      <c r="AA9" s="241"/>
      <c r="AB9" s="241"/>
      <c r="AC9" s="241"/>
      <c r="AD9" s="241"/>
      <c r="AE9" s="241"/>
      <c r="AF9" s="241"/>
      <c r="AG9" s="241"/>
      <c r="AH9" s="241"/>
      <c r="AI9" s="241"/>
      <c r="AJ9" s="241"/>
      <c r="AK9" s="241"/>
      <c r="AL9" s="241"/>
      <c r="AM9" s="241"/>
      <c r="AN9" s="241"/>
      <c r="AO9" s="241"/>
      <c r="AP9" s="241"/>
      <c r="AQ9" s="241"/>
      <c r="AR9" s="241"/>
      <c r="AS9" s="241"/>
      <c r="AT9" s="241"/>
      <c r="AU9" s="241"/>
      <c r="AV9" s="241"/>
      <c r="AW9" s="241"/>
      <c r="AX9" s="241"/>
      <c r="AY9" s="241"/>
      <c r="AZ9" s="241"/>
      <c r="BA9" s="241"/>
      <c r="BB9" s="241"/>
      <c r="BC9" s="241"/>
      <c r="BD9" s="241"/>
      <c r="BE9" s="241"/>
      <c r="BF9" s="241"/>
      <c r="BG9" s="241"/>
      <c r="BH9" s="241"/>
      <c r="BI9" s="241"/>
      <c r="BJ9" s="241"/>
      <c r="BK9" s="241"/>
      <c r="BL9" s="241"/>
      <c r="BM9" s="241"/>
      <c r="BN9" s="241"/>
      <c r="BO9" s="241"/>
      <c r="BP9" s="241"/>
      <c r="BQ9" s="241"/>
      <c r="BR9" s="241"/>
      <c r="BS9" s="241"/>
      <c r="BT9" s="241"/>
      <c r="BU9" s="241"/>
      <c r="BV9" s="241"/>
      <c r="BW9" s="241"/>
      <c r="BX9" s="241"/>
      <c r="BY9" s="241"/>
      <c r="BZ9" s="241"/>
      <c r="CA9" s="241"/>
      <c r="CB9" s="241"/>
      <c r="CC9" s="241"/>
      <c r="CD9" s="241"/>
      <c r="CE9" s="241"/>
      <c r="CF9" s="241"/>
      <c r="CG9" s="241"/>
      <c r="CH9" s="241"/>
      <c r="CI9" s="241"/>
      <c r="CJ9" s="241"/>
      <c r="CK9" s="241"/>
      <c r="CL9" s="241"/>
      <c r="CM9" s="241"/>
      <c r="CN9" s="241"/>
      <c r="CO9" s="241"/>
      <c r="CP9" s="241"/>
      <c r="CQ9" s="241"/>
      <c r="CR9" s="241"/>
      <c r="CS9" s="241"/>
      <c r="CT9" s="241"/>
      <c r="CU9" s="241"/>
      <c r="CV9" s="241"/>
      <c r="CW9" s="241"/>
      <c r="CX9" s="241"/>
      <c r="CY9" s="241"/>
      <c r="CZ9" s="241"/>
      <c r="DA9" s="241"/>
      <c r="DB9" s="241"/>
      <c r="DC9" s="241"/>
      <c r="DD9" s="241"/>
      <c r="DE9" s="241"/>
      <c r="DF9" s="241"/>
      <c r="DG9" s="241"/>
      <c r="DH9" s="241"/>
      <c r="DI9" s="241"/>
      <c r="DJ9" s="241"/>
      <c r="DK9" s="241"/>
      <c r="DL9" s="241"/>
      <c r="DM9" s="241"/>
      <c r="DN9" s="241"/>
      <c r="DO9" s="241"/>
      <c r="DP9" s="241"/>
      <c r="DQ9" s="241"/>
      <c r="DR9" s="241"/>
      <c r="DS9" s="241"/>
      <c r="DT9" s="241"/>
      <c r="DU9" s="241"/>
      <c r="DV9" s="241"/>
      <c r="DW9" s="241"/>
      <c r="DX9" s="241"/>
      <c r="DY9" s="241"/>
      <c r="DZ9" s="241"/>
      <c r="EA9" s="241"/>
      <c r="EB9" s="241"/>
      <c r="EC9" s="241"/>
      <c r="ED9" s="241"/>
      <c r="EE9" s="241"/>
      <c r="EF9" s="241"/>
      <c r="EG9" s="241"/>
      <c r="EH9" s="241"/>
      <c r="EI9" s="241"/>
      <c r="EJ9" s="241"/>
      <c r="EK9" s="241"/>
      <c r="EL9" s="241"/>
      <c r="EM9" s="241"/>
      <c r="EN9" s="241"/>
      <c r="EO9" s="241"/>
      <c r="EP9" s="241"/>
      <c r="EQ9" s="241"/>
      <c r="ER9" s="241"/>
      <c r="ES9" s="241"/>
      <c r="ET9" s="241"/>
      <c r="EU9" s="241"/>
      <c r="EV9" s="241"/>
      <c r="EW9" s="241"/>
      <c r="EX9" s="241"/>
      <c r="EY9" s="241"/>
      <c r="EZ9" s="241"/>
      <c r="FA9" s="241"/>
      <c r="FB9" s="241"/>
      <c r="FC9" s="241"/>
      <c r="FD9" s="241"/>
      <c r="FE9" s="241"/>
      <c r="FF9" s="241"/>
      <c r="FG9" s="241"/>
      <c r="FH9" s="241"/>
      <c r="FI9" s="241"/>
      <c r="FJ9" s="241"/>
      <c r="FK9" s="241"/>
      <c r="FL9" s="241"/>
      <c r="FM9" s="241"/>
      <c r="FN9" s="241"/>
      <c r="FO9" s="241"/>
      <c r="FP9" s="241"/>
      <c r="FQ9" s="241"/>
      <c r="FR9" s="241"/>
      <c r="FS9" s="241"/>
      <c r="FT9" s="241"/>
      <c r="FU9" s="241"/>
      <c r="FV9" s="241"/>
      <c r="FW9" s="241"/>
      <c r="FX9" s="241"/>
      <c r="FY9" s="241"/>
      <c r="FZ9" s="241"/>
      <c r="GA9" s="241"/>
      <c r="GB9" s="241"/>
      <c r="GC9" s="241"/>
      <c r="GD9" s="241"/>
      <c r="GE9" s="241"/>
      <c r="GF9" s="241"/>
      <c r="GG9" s="241"/>
      <c r="GH9" s="241"/>
      <c r="GI9" s="241"/>
      <c r="GJ9" s="241"/>
      <c r="GK9" s="241"/>
      <c r="GL9" s="241"/>
      <c r="GM9" s="241"/>
      <c r="GN9" s="241"/>
      <c r="GO9" s="241"/>
      <c r="GP9" s="241"/>
      <c r="GQ9" s="241"/>
      <c r="GR9" s="241"/>
      <c r="GS9" s="241"/>
      <c r="GT9" s="241"/>
      <c r="GU9" s="241"/>
      <c r="GV9" s="241"/>
      <c r="GW9" s="241"/>
      <c r="GX9" s="241"/>
      <c r="GY9" s="241"/>
      <c r="GZ9" s="241"/>
      <c r="HA9" s="241"/>
      <c r="HB9" s="241"/>
      <c r="HC9" s="241"/>
      <c r="HD9" s="241"/>
      <c r="HE9" s="241"/>
      <c r="HF9" s="241"/>
      <c r="HG9" s="241"/>
      <c r="HH9" s="241"/>
      <c r="HI9" s="241"/>
      <c r="HJ9" s="241"/>
      <c r="HK9" s="241"/>
      <c r="HL9" s="241"/>
      <c r="HM9" s="241"/>
      <c r="HN9" s="241"/>
      <c r="HO9" s="241"/>
      <c r="HP9" s="241"/>
      <c r="HQ9" s="241"/>
      <c r="HR9" s="241"/>
      <c r="HS9" s="241"/>
      <c r="HT9" s="241"/>
      <c r="HU9" s="241"/>
      <c r="HV9" s="241"/>
      <c r="HW9" s="241"/>
      <c r="HX9" s="241"/>
      <c r="HY9" s="241"/>
      <c r="HZ9" s="241"/>
      <c r="IA9" s="241"/>
      <c r="IB9" s="241"/>
      <c r="IC9" s="241"/>
      <c r="ID9" s="241"/>
      <c r="IE9" s="241"/>
      <c r="IF9" s="241"/>
      <c r="IG9" s="241"/>
      <c r="IH9" s="241"/>
      <c r="II9" s="241"/>
      <c r="IJ9" s="241"/>
      <c r="IK9" s="241"/>
      <c r="IL9" s="241"/>
      <c r="IM9" s="241"/>
      <c r="IN9" s="241"/>
      <c r="IO9" s="241"/>
      <c r="IP9" s="241"/>
      <c r="IQ9" s="241"/>
      <c r="IR9" s="241"/>
      <c r="IS9" s="241"/>
      <c r="IT9" s="241"/>
      <c r="IU9" s="241"/>
      <c r="IV9" s="241"/>
    </row>
    <row r="10" spans="1:256" ht="21.75" customHeight="1">
      <c r="A10" s="185" t="s">
        <v>68</v>
      </c>
      <c r="B10" s="309" t="s">
        <v>368</v>
      </c>
      <c r="C10" s="309"/>
      <c r="D10" s="236">
        <f>D11+D14+D23+D19+D27+D16+D30</f>
        <v>3820203000</v>
      </c>
      <c r="E10" s="247"/>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8"/>
      <c r="AL10" s="178"/>
      <c r="AM10" s="178"/>
      <c r="AN10" s="178"/>
      <c r="AO10" s="178"/>
      <c r="AP10" s="178"/>
      <c r="AQ10" s="178"/>
      <c r="AR10" s="178"/>
      <c r="AS10" s="178"/>
      <c r="AT10" s="178"/>
      <c r="AU10" s="178"/>
      <c r="AV10" s="178"/>
      <c r="AW10" s="178"/>
      <c r="AX10" s="178"/>
      <c r="AY10" s="178"/>
      <c r="AZ10" s="178"/>
      <c r="BA10" s="178"/>
      <c r="BB10" s="178"/>
      <c r="BC10" s="178"/>
      <c r="BD10" s="178"/>
      <c r="BE10" s="178"/>
      <c r="BF10" s="178"/>
      <c r="BG10" s="178"/>
      <c r="BH10" s="178"/>
      <c r="BI10" s="178"/>
      <c r="BJ10" s="178"/>
      <c r="BK10" s="178"/>
      <c r="BL10" s="178"/>
      <c r="BM10" s="178"/>
      <c r="BN10" s="178"/>
      <c r="BO10" s="178"/>
      <c r="BP10" s="178"/>
      <c r="BQ10" s="178"/>
      <c r="BR10" s="178"/>
      <c r="BS10" s="178"/>
      <c r="BT10" s="178"/>
      <c r="BU10" s="178"/>
      <c r="BV10" s="178"/>
      <c r="BW10" s="178"/>
      <c r="BX10" s="178"/>
      <c r="BY10" s="178"/>
      <c r="BZ10" s="178"/>
      <c r="CA10" s="178"/>
      <c r="CB10" s="178"/>
      <c r="CC10" s="178"/>
      <c r="CD10" s="178"/>
      <c r="CE10" s="178"/>
      <c r="CF10" s="178"/>
      <c r="CG10" s="178"/>
      <c r="CH10" s="178"/>
      <c r="CI10" s="178"/>
      <c r="CJ10" s="178"/>
      <c r="CK10" s="178"/>
      <c r="CL10" s="178"/>
      <c r="CM10" s="178"/>
      <c r="CN10" s="178"/>
      <c r="CO10" s="178"/>
      <c r="CP10" s="178"/>
      <c r="CQ10" s="178"/>
      <c r="CR10" s="178"/>
      <c r="CS10" s="178"/>
      <c r="CT10" s="178"/>
      <c r="CU10" s="178"/>
      <c r="CV10" s="178"/>
      <c r="CW10" s="178"/>
      <c r="CX10" s="178"/>
      <c r="CY10" s="178"/>
      <c r="CZ10" s="178"/>
      <c r="DA10" s="178"/>
      <c r="DB10" s="178"/>
      <c r="DC10" s="178"/>
      <c r="DD10" s="178"/>
      <c r="DE10" s="178"/>
      <c r="DF10" s="178"/>
      <c r="DG10" s="178"/>
      <c r="DH10" s="178"/>
      <c r="DI10" s="178"/>
      <c r="DJ10" s="178"/>
      <c r="DK10" s="178"/>
      <c r="DL10" s="178"/>
      <c r="DM10" s="178"/>
      <c r="DN10" s="178"/>
      <c r="DO10" s="178"/>
      <c r="DP10" s="178"/>
      <c r="DQ10" s="178"/>
      <c r="DR10" s="178"/>
      <c r="DS10" s="178"/>
      <c r="DT10" s="178"/>
      <c r="DU10" s="178"/>
      <c r="DV10" s="178"/>
      <c r="DW10" s="178"/>
      <c r="DX10" s="178"/>
      <c r="DY10" s="178"/>
      <c r="DZ10" s="178"/>
      <c r="EA10" s="178"/>
      <c r="EB10" s="178"/>
      <c r="EC10" s="178"/>
      <c r="ED10" s="178"/>
      <c r="EE10" s="178"/>
      <c r="EF10" s="178"/>
      <c r="EG10" s="178"/>
      <c r="EH10" s="178"/>
      <c r="EI10" s="178"/>
      <c r="EJ10" s="178"/>
      <c r="EK10" s="178"/>
      <c r="EL10" s="178"/>
      <c r="EM10" s="178"/>
      <c r="EN10" s="178"/>
      <c r="EO10" s="178"/>
      <c r="EP10" s="178"/>
      <c r="EQ10" s="178"/>
      <c r="ER10" s="178"/>
      <c r="ES10" s="178"/>
      <c r="ET10" s="178"/>
      <c r="EU10" s="178"/>
      <c r="EV10" s="178"/>
      <c r="EW10" s="178"/>
      <c r="EX10" s="178"/>
      <c r="EY10" s="178"/>
      <c r="EZ10" s="178"/>
      <c r="FA10" s="178"/>
      <c r="FB10" s="178"/>
      <c r="FC10" s="178"/>
      <c r="FD10" s="178"/>
      <c r="FE10" s="178"/>
      <c r="FF10" s="178"/>
      <c r="FG10" s="178"/>
      <c r="FH10" s="178"/>
      <c r="FI10" s="178"/>
      <c r="FJ10" s="178"/>
      <c r="FK10" s="178"/>
      <c r="FL10" s="178"/>
      <c r="FM10" s="178"/>
      <c r="FN10" s="178"/>
      <c r="FO10" s="178"/>
      <c r="FP10" s="178"/>
      <c r="FQ10" s="178"/>
      <c r="FR10" s="178"/>
      <c r="FS10" s="178"/>
      <c r="FT10" s="178"/>
      <c r="FU10" s="178"/>
      <c r="FV10" s="178"/>
      <c r="FW10" s="178"/>
      <c r="FX10" s="178"/>
      <c r="FY10" s="178"/>
      <c r="FZ10" s="178"/>
      <c r="GA10" s="178"/>
      <c r="GB10" s="178"/>
      <c r="GC10" s="178"/>
      <c r="GD10" s="178"/>
      <c r="GE10" s="178"/>
      <c r="GF10" s="178"/>
      <c r="GG10" s="178"/>
      <c r="GH10" s="178"/>
      <c r="GI10" s="178"/>
      <c r="GJ10" s="178"/>
      <c r="GK10" s="178"/>
      <c r="GL10" s="178"/>
      <c r="GM10" s="178"/>
      <c r="GN10" s="178"/>
      <c r="GO10" s="178"/>
      <c r="GP10" s="178"/>
      <c r="GQ10" s="178"/>
      <c r="GR10" s="178"/>
      <c r="GS10" s="178"/>
      <c r="GT10" s="178"/>
      <c r="GU10" s="178"/>
      <c r="GV10" s="178"/>
      <c r="GW10" s="178"/>
      <c r="GX10" s="178"/>
      <c r="GY10" s="178"/>
      <c r="GZ10" s="178"/>
      <c r="HA10" s="178"/>
      <c r="HB10" s="178"/>
      <c r="HC10" s="178"/>
      <c r="HD10" s="178"/>
      <c r="HE10" s="178"/>
      <c r="HF10" s="178"/>
      <c r="HG10" s="178"/>
      <c r="HH10" s="178"/>
      <c r="HI10" s="178"/>
      <c r="HJ10" s="178"/>
      <c r="HK10" s="178"/>
      <c r="HL10" s="178"/>
      <c r="HM10" s="178"/>
      <c r="HN10" s="178"/>
      <c r="HO10" s="178"/>
      <c r="HP10" s="178"/>
      <c r="HQ10" s="178"/>
      <c r="HR10" s="178"/>
      <c r="HS10" s="178"/>
      <c r="HT10" s="178"/>
      <c r="HU10" s="178"/>
      <c r="HV10" s="178"/>
      <c r="HW10" s="178"/>
      <c r="HX10" s="178"/>
      <c r="HY10" s="178"/>
      <c r="HZ10" s="178"/>
      <c r="IA10" s="178"/>
      <c r="IB10" s="178"/>
      <c r="IC10" s="178"/>
      <c r="ID10" s="178"/>
      <c r="IE10" s="178"/>
      <c r="IF10" s="178"/>
      <c r="IG10" s="178"/>
      <c r="IH10" s="178"/>
      <c r="II10" s="178"/>
      <c r="IJ10" s="178"/>
      <c r="IK10" s="178"/>
      <c r="IL10" s="178"/>
      <c r="IM10" s="178"/>
      <c r="IN10" s="178"/>
      <c r="IO10" s="178"/>
      <c r="IP10" s="178"/>
      <c r="IQ10" s="178"/>
      <c r="IR10" s="178"/>
      <c r="IS10" s="178"/>
      <c r="IT10" s="178"/>
      <c r="IU10" s="178"/>
      <c r="IV10" s="178"/>
    </row>
    <row r="11" spans="1:256" ht="21.75" customHeight="1">
      <c r="A11" s="185">
        <v>1</v>
      </c>
      <c r="B11" s="309" t="s">
        <v>369</v>
      </c>
      <c r="C11" s="309"/>
      <c r="D11" s="246">
        <f>SUM(D12:D13)</f>
        <v>485947000</v>
      </c>
      <c r="E11" s="247"/>
      <c r="F11" s="178"/>
      <c r="G11" s="178"/>
      <c r="H11" s="178"/>
      <c r="I11" s="178"/>
      <c r="J11" s="178"/>
      <c r="K11" s="178"/>
      <c r="L11" s="178"/>
      <c r="M11" s="178"/>
      <c r="N11" s="178"/>
      <c r="O11" s="178"/>
      <c r="P11" s="178"/>
      <c r="Q11" s="178"/>
      <c r="R11" s="178"/>
      <c r="S11" s="178"/>
      <c r="T11" s="178"/>
      <c r="U11" s="178"/>
      <c r="V11" s="178"/>
      <c r="W11" s="178"/>
      <c r="X11" s="178"/>
      <c r="Y11" s="178"/>
      <c r="Z11" s="178"/>
      <c r="AA11" s="178"/>
      <c r="AB11" s="178"/>
      <c r="AC11" s="178"/>
      <c r="AD11" s="178"/>
      <c r="AE11" s="178"/>
      <c r="AF11" s="178"/>
      <c r="AG11" s="178"/>
      <c r="AH11" s="178"/>
      <c r="AI11" s="178"/>
      <c r="AJ11" s="178"/>
      <c r="AK11" s="178"/>
      <c r="AL11" s="178"/>
      <c r="AM11" s="178"/>
      <c r="AN11" s="178"/>
      <c r="AO11" s="178"/>
      <c r="AP11" s="178"/>
      <c r="AQ11" s="178"/>
      <c r="AR11" s="178"/>
      <c r="AS11" s="178"/>
      <c r="AT11" s="178"/>
      <c r="AU11" s="178"/>
      <c r="AV11" s="178"/>
      <c r="AW11" s="178"/>
      <c r="AX11" s="178"/>
      <c r="AY11" s="178"/>
      <c r="AZ11" s="178"/>
      <c r="BA11" s="178"/>
      <c r="BB11" s="178"/>
      <c r="BC11" s="178"/>
      <c r="BD11" s="178"/>
      <c r="BE11" s="178"/>
      <c r="BF11" s="178"/>
      <c r="BG11" s="178"/>
      <c r="BH11" s="178"/>
      <c r="BI11" s="178"/>
      <c r="BJ11" s="178"/>
      <c r="BK11" s="178"/>
      <c r="BL11" s="178"/>
      <c r="BM11" s="178"/>
      <c r="BN11" s="178"/>
      <c r="BO11" s="178"/>
      <c r="BP11" s="178"/>
      <c r="BQ11" s="178"/>
      <c r="BR11" s="178"/>
      <c r="BS11" s="178"/>
      <c r="BT11" s="178"/>
      <c r="BU11" s="178"/>
      <c r="BV11" s="178"/>
      <c r="BW11" s="178"/>
      <c r="BX11" s="178"/>
      <c r="BY11" s="178"/>
      <c r="BZ11" s="178"/>
      <c r="CA11" s="178"/>
      <c r="CB11" s="178"/>
      <c r="CC11" s="178"/>
      <c r="CD11" s="178"/>
      <c r="CE11" s="178"/>
      <c r="CF11" s="178"/>
      <c r="CG11" s="178"/>
      <c r="CH11" s="178"/>
      <c r="CI11" s="178"/>
      <c r="CJ11" s="178"/>
      <c r="CK11" s="178"/>
      <c r="CL11" s="178"/>
      <c r="CM11" s="178"/>
      <c r="CN11" s="178"/>
      <c r="CO11" s="178"/>
      <c r="CP11" s="178"/>
      <c r="CQ11" s="178"/>
      <c r="CR11" s="178"/>
      <c r="CS11" s="178"/>
      <c r="CT11" s="178"/>
      <c r="CU11" s="178"/>
      <c r="CV11" s="178"/>
      <c r="CW11" s="178"/>
      <c r="CX11" s="178"/>
      <c r="CY11" s="178"/>
      <c r="CZ11" s="178"/>
      <c r="DA11" s="178"/>
      <c r="DB11" s="178"/>
      <c r="DC11" s="178"/>
      <c r="DD11" s="178"/>
      <c r="DE11" s="178"/>
      <c r="DF11" s="178"/>
      <c r="DG11" s="178"/>
      <c r="DH11" s="178"/>
      <c r="DI11" s="178"/>
      <c r="DJ11" s="178"/>
      <c r="DK11" s="178"/>
      <c r="DL11" s="178"/>
      <c r="DM11" s="178"/>
      <c r="DN11" s="178"/>
      <c r="DO11" s="178"/>
      <c r="DP11" s="178"/>
      <c r="DQ11" s="178"/>
      <c r="DR11" s="178"/>
      <c r="DS11" s="178"/>
      <c r="DT11" s="178"/>
      <c r="DU11" s="178"/>
      <c r="DV11" s="178"/>
      <c r="DW11" s="178"/>
      <c r="DX11" s="178"/>
      <c r="DY11" s="178"/>
      <c r="DZ11" s="178"/>
      <c r="EA11" s="178"/>
      <c r="EB11" s="178"/>
      <c r="EC11" s="178"/>
      <c r="ED11" s="178"/>
      <c r="EE11" s="178"/>
      <c r="EF11" s="178"/>
      <c r="EG11" s="178"/>
      <c r="EH11" s="178"/>
      <c r="EI11" s="178"/>
      <c r="EJ11" s="178"/>
      <c r="EK11" s="178"/>
      <c r="EL11" s="178"/>
      <c r="EM11" s="178"/>
      <c r="EN11" s="178"/>
      <c r="EO11" s="178"/>
      <c r="EP11" s="178"/>
      <c r="EQ11" s="178"/>
      <c r="ER11" s="178"/>
      <c r="ES11" s="178"/>
      <c r="ET11" s="178"/>
      <c r="EU11" s="178"/>
      <c r="EV11" s="178"/>
      <c r="EW11" s="178"/>
      <c r="EX11" s="178"/>
      <c r="EY11" s="178"/>
      <c r="EZ11" s="178"/>
      <c r="FA11" s="178"/>
      <c r="FB11" s="178"/>
      <c r="FC11" s="178"/>
      <c r="FD11" s="178"/>
      <c r="FE11" s="178"/>
      <c r="FF11" s="178"/>
      <c r="FG11" s="178"/>
      <c r="FH11" s="178"/>
      <c r="FI11" s="178"/>
      <c r="FJ11" s="178"/>
      <c r="FK11" s="178"/>
      <c r="FL11" s="178"/>
      <c r="FM11" s="178"/>
      <c r="FN11" s="178"/>
      <c r="FO11" s="178"/>
      <c r="FP11" s="178"/>
      <c r="FQ11" s="178"/>
      <c r="FR11" s="178"/>
      <c r="FS11" s="178"/>
      <c r="FT11" s="178"/>
      <c r="FU11" s="178"/>
      <c r="FV11" s="178"/>
      <c r="FW11" s="178"/>
      <c r="FX11" s="178"/>
      <c r="FY11" s="178"/>
      <c r="FZ11" s="178"/>
      <c r="GA11" s="178"/>
      <c r="GB11" s="178"/>
      <c r="GC11" s="178"/>
      <c r="GD11" s="178"/>
      <c r="GE11" s="178"/>
      <c r="GF11" s="178"/>
      <c r="GG11" s="178"/>
      <c r="GH11" s="178"/>
      <c r="GI11" s="178"/>
      <c r="GJ11" s="178"/>
      <c r="GK11" s="178"/>
      <c r="GL11" s="178"/>
      <c r="GM11" s="178"/>
      <c r="GN11" s="178"/>
      <c r="GO11" s="178"/>
      <c r="GP11" s="178"/>
      <c r="GQ11" s="178"/>
      <c r="GR11" s="178"/>
      <c r="GS11" s="178"/>
      <c r="GT11" s="178"/>
      <c r="GU11" s="178"/>
      <c r="GV11" s="178"/>
      <c r="GW11" s="178"/>
      <c r="GX11" s="178"/>
      <c r="GY11" s="178"/>
      <c r="GZ11" s="178"/>
      <c r="HA11" s="178"/>
      <c r="HB11" s="178"/>
      <c r="HC11" s="178"/>
      <c r="HD11" s="178"/>
      <c r="HE11" s="178"/>
      <c r="HF11" s="178"/>
      <c r="HG11" s="178"/>
      <c r="HH11" s="178"/>
      <c r="HI11" s="178"/>
      <c r="HJ11" s="178"/>
      <c r="HK11" s="178"/>
      <c r="HL11" s="178"/>
      <c r="HM11" s="178"/>
      <c r="HN11" s="178"/>
      <c r="HO11" s="178"/>
      <c r="HP11" s="178"/>
      <c r="HQ11" s="178"/>
      <c r="HR11" s="178"/>
      <c r="HS11" s="178"/>
      <c r="HT11" s="178"/>
      <c r="HU11" s="178"/>
      <c r="HV11" s="178"/>
      <c r="HW11" s="178"/>
      <c r="HX11" s="178"/>
      <c r="HY11" s="178"/>
      <c r="HZ11" s="178"/>
      <c r="IA11" s="178"/>
      <c r="IB11" s="178"/>
      <c r="IC11" s="178"/>
      <c r="ID11" s="178"/>
      <c r="IE11" s="178"/>
      <c r="IF11" s="178"/>
      <c r="IG11" s="178"/>
      <c r="IH11" s="178"/>
      <c r="II11" s="178"/>
      <c r="IJ11" s="178"/>
      <c r="IK11" s="178"/>
      <c r="IL11" s="178"/>
      <c r="IM11" s="178"/>
      <c r="IN11" s="178"/>
      <c r="IO11" s="178"/>
      <c r="IP11" s="178"/>
      <c r="IQ11" s="178"/>
      <c r="IR11" s="178"/>
      <c r="IS11" s="178"/>
      <c r="IT11" s="178"/>
      <c r="IU11" s="178"/>
      <c r="IV11" s="178"/>
    </row>
    <row r="12" spans="1:256" ht="36" customHeight="1">
      <c r="A12" s="237" t="s">
        <v>146</v>
      </c>
      <c r="B12" s="238" t="s">
        <v>370</v>
      </c>
      <c r="C12" s="239" t="s">
        <v>267</v>
      </c>
      <c r="D12" s="240">
        <f>'[2]02 TTr UBND'!Q26</f>
        <v>320000000</v>
      </c>
      <c r="E12" s="307" t="s">
        <v>394</v>
      </c>
      <c r="F12" s="200"/>
      <c r="G12" s="200"/>
      <c r="H12" s="200"/>
      <c r="I12" s="200"/>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200"/>
      <c r="AK12" s="200"/>
      <c r="AL12" s="200"/>
      <c r="AM12" s="200"/>
      <c r="AN12" s="200"/>
      <c r="AO12" s="200"/>
      <c r="AP12" s="200"/>
      <c r="AQ12" s="200"/>
      <c r="AR12" s="200"/>
      <c r="AS12" s="200"/>
      <c r="AT12" s="200"/>
      <c r="AU12" s="200"/>
      <c r="AV12" s="200"/>
      <c r="AW12" s="200"/>
      <c r="AX12" s="200"/>
      <c r="AY12" s="200"/>
      <c r="AZ12" s="200"/>
      <c r="BA12" s="200"/>
      <c r="BB12" s="200"/>
      <c r="BC12" s="200"/>
      <c r="BD12" s="200"/>
      <c r="BE12" s="200"/>
      <c r="BF12" s="200"/>
      <c r="BG12" s="200"/>
      <c r="BH12" s="200"/>
      <c r="BI12" s="200"/>
      <c r="BJ12" s="200"/>
      <c r="BK12" s="200"/>
      <c r="BL12" s="200"/>
      <c r="BM12" s="200"/>
      <c r="BN12" s="200"/>
      <c r="BO12" s="200"/>
      <c r="BP12" s="200"/>
      <c r="BQ12" s="200"/>
      <c r="BR12" s="200"/>
      <c r="BS12" s="200"/>
      <c r="BT12" s="200"/>
      <c r="BU12" s="200"/>
      <c r="BV12" s="200"/>
      <c r="BW12" s="200"/>
      <c r="BX12" s="200"/>
      <c r="BY12" s="200"/>
      <c r="BZ12" s="200"/>
      <c r="CA12" s="200"/>
      <c r="CB12" s="200"/>
      <c r="CC12" s="200"/>
      <c r="CD12" s="200"/>
      <c r="CE12" s="200"/>
      <c r="CF12" s="200"/>
      <c r="CG12" s="200"/>
      <c r="CH12" s="200"/>
      <c r="CI12" s="200"/>
      <c r="CJ12" s="200"/>
      <c r="CK12" s="200"/>
      <c r="CL12" s="200"/>
      <c r="CM12" s="200"/>
      <c r="CN12" s="200"/>
      <c r="CO12" s="200"/>
      <c r="CP12" s="200"/>
      <c r="CQ12" s="200"/>
      <c r="CR12" s="200"/>
      <c r="CS12" s="200"/>
      <c r="CT12" s="200"/>
      <c r="CU12" s="200"/>
      <c r="CV12" s="200"/>
      <c r="CW12" s="200"/>
      <c r="CX12" s="200"/>
      <c r="CY12" s="200"/>
      <c r="CZ12" s="200"/>
      <c r="DA12" s="200"/>
      <c r="DB12" s="200"/>
      <c r="DC12" s="200"/>
      <c r="DD12" s="200"/>
      <c r="DE12" s="200"/>
      <c r="DF12" s="200"/>
      <c r="DG12" s="200"/>
      <c r="DH12" s="200"/>
      <c r="DI12" s="200"/>
      <c r="DJ12" s="200"/>
      <c r="DK12" s="200"/>
      <c r="DL12" s="200"/>
      <c r="DM12" s="200"/>
      <c r="DN12" s="200"/>
      <c r="DO12" s="200"/>
      <c r="DP12" s="200"/>
      <c r="DQ12" s="200"/>
      <c r="DR12" s="200"/>
      <c r="DS12" s="200"/>
      <c r="DT12" s="200"/>
      <c r="DU12" s="200"/>
      <c r="DV12" s="200"/>
      <c r="DW12" s="200"/>
      <c r="DX12" s="200"/>
      <c r="DY12" s="200"/>
      <c r="DZ12" s="200"/>
      <c r="EA12" s="200"/>
      <c r="EB12" s="200"/>
      <c r="EC12" s="200"/>
      <c r="ED12" s="200"/>
      <c r="EE12" s="200"/>
      <c r="EF12" s="200"/>
      <c r="EG12" s="200"/>
      <c r="EH12" s="200"/>
      <c r="EI12" s="200"/>
      <c r="EJ12" s="200"/>
      <c r="EK12" s="200"/>
      <c r="EL12" s="200"/>
      <c r="EM12" s="200"/>
      <c r="EN12" s="200"/>
      <c r="EO12" s="200"/>
      <c r="EP12" s="200"/>
      <c r="EQ12" s="200"/>
      <c r="ER12" s="200"/>
      <c r="ES12" s="200"/>
      <c r="ET12" s="200"/>
      <c r="EU12" s="200"/>
      <c r="EV12" s="200"/>
      <c r="EW12" s="200"/>
      <c r="EX12" s="200"/>
      <c r="EY12" s="200"/>
      <c r="EZ12" s="200"/>
      <c r="FA12" s="200"/>
      <c r="FB12" s="200"/>
      <c r="FC12" s="200"/>
      <c r="FD12" s="200"/>
      <c r="FE12" s="200"/>
      <c r="FF12" s="200"/>
      <c r="FG12" s="200"/>
      <c r="FH12" s="200"/>
      <c r="FI12" s="200"/>
      <c r="FJ12" s="200"/>
      <c r="FK12" s="200"/>
      <c r="FL12" s="200"/>
      <c r="FM12" s="200"/>
      <c r="FN12" s="200"/>
      <c r="FO12" s="200"/>
      <c r="FP12" s="200"/>
      <c r="FQ12" s="200"/>
      <c r="FR12" s="200"/>
      <c r="FS12" s="200"/>
      <c r="FT12" s="200"/>
      <c r="FU12" s="200"/>
      <c r="FV12" s="200"/>
      <c r="FW12" s="200"/>
      <c r="FX12" s="200"/>
      <c r="FY12" s="200"/>
      <c r="FZ12" s="200"/>
      <c r="GA12" s="200"/>
      <c r="GB12" s="200"/>
      <c r="GC12" s="200"/>
      <c r="GD12" s="200"/>
      <c r="GE12" s="200"/>
      <c r="GF12" s="200"/>
      <c r="GG12" s="200"/>
      <c r="GH12" s="200"/>
      <c r="GI12" s="200"/>
      <c r="GJ12" s="200"/>
      <c r="GK12" s="200"/>
      <c r="GL12" s="200"/>
      <c r="GM12" s="200"/>
      <c r="GN12" s="200"/>
      <c r="GO12" s="200"/>
      <c r="GP12" s="200"/>
      <c r="GQ12" s="200"/>
      <c r="GR12" s="200"/>
      <c r="GS12" s="200"/>
      <c r="GT12" s="200"/>
      <c r="GU12" s="200"/>
      <c r="GV12" s="200"/>
      <c r="GW12" s="200"/>
      <c r="GX12" s="200"/>
      <c r="GY12" s="200"/>
      <c r="GZ12" s="200"/>
      <c r="HA12" s="200"/>
      <c r="HB12" s="200"/>
      <c r="HC12" s="200"/>
      <c r="HD12" s="200"/>
      <c r="HE12" s="200"/>
      <c r="HF12" s="200"/>
      <c r="HG12" s="200"/>
      <c r="HH12" s="200"/>
      <c r="HI12" s="200"/>
      <c r="HJ12" s="200"/>
      <c r="HK12" s="200"/>
      <c r="HL12" s="200"/>
      <c r="HM12" s="200"/>
      <c r="HN12" s="200"/>
      <c r="HO12" s="200"/>
      <c r="HP12" s="200"/>
      <c r="HQ12" s="200"/>
      <c r="HR12" s="200"/>
      <c r="HS12" s="200"/>
      <c r="HT12" s="200"/>
      <c r="HU12" s="200"/>
      <c r="HV12" s="200"/>
      <c r="HW12" s="200"/>
      <c r="HX12" s="200"/>
      <c r="HY12" s="200"/>
      <c r="HZ12" s="200"/>
      <c r="IA12" s="200"/>
      <c r="IB12" s="200"/>
      <c r="IC12" s="200"/>
      <c r="ID12" s="200"/>
      <c r="IE12" s="200"/>
      <c r="IF12" s="200"/>
      <c r="IG12" s="200"/>
      <c r="IH12" s="200"/>
      <c r="II12" s="200"/>
      <c r="IJ12" s="200"/>
      <c r="IK12" s="200"/>
      <c r="IL12" s="200"/>
      <c r="IM12" s="200"/>
      <c r="IN12" s="200"/>
      <c r="IO12" s="200"/>
      <c r="IP12" s="200"/>
      <c r="IQ12" s="200"/>
      <c r="IR12" s="200"/>
      <c r="IS12" s="200"/>
      <c r="IT12" s="200"/>
      <c r="IU12" s="200"/>
      <c r="IV12" s="200"/>
    </row>
    <row r="13" spans="1:256" ht="36" customHeight="1">
      <c r="A13" s="242" t="s">
        <v>148</v>
      </c>
      <c r="B13" s="243" t="s">
        <v>271</v>
      </c>
      <c r="C13" s="244" t="s">
        <v>273</v>
      </c>
      <c r="D13" s="245">
        <f>'[2]02 TTr UBND'!Q30</f>
        <v>165947000</v>
      </c>
      <c r="E13" s="308"/>
      <c r="F13" s="200"/>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c r="AO13" s="200"/>
      <c r="AP13" s="200"/>
      <c r="AQ13" s="200"/>
      <c r="AR13" s="200"/>
      <c r="AS13" s="200"/>
      <c r="AT13" s="200"/>
      <c r="AU13" s="200"/>
      <c r="AV13" s="200"/>
      <c r="AW13" s="200"/>
      <c r="AX13" s="200"/>
      <c r="AY13" s="200"/>
      <c r="AZ13" s="200"/>
      <c r="BA13" s="200"/>
      <c r="BB13" s="200"/>
      <c r="BC13" s="200"/>
      <c r="BD13" s="200"/>
      <c r="BE13" s="200"/>
      <c r="BF13" s="200"/>
      <c r="BG13" s="200"/>
      <c r="BH13" s="200"/>
      <c r="BI13" s="200"/>
      <c r="BJ13" s="200"/>
      <c r="BK13" s="200"/>
      <c r="BL13" s="200"/>
      <c r="BM13" s="200"/>
      <c r="BN13" s="200"/>
      <c r="BO13" s="200"/>
      <c r="BP13" s="200"/>
      <c r="BQ13" s="200"/>
      <c r="BR13" s="200"/>
      <c r="BS13" s="200"/>
      <c r="BT13" s="200"/>
      <c r="BU13" s="200"/>
      <c r="BV13" s="200"/>
      <c r="BW13" s="200"/>
      <c r="BX13" s="200"/>
      <c r="BY13" s="200"/>
      <c r="BZ13" s="200"/>
      <c r="CA13" s="200"/>
      <c r="CB13" s="200"/>
      <c r="CC13" s="200"/>
      <c r="CD13" s="200"/>
      <c r="CE13" s="200"/>
      <c r="CF13" s="200"/>
      <c r="CG13" s="200"/>
      <c r="CH13" s="200"/>
      <c r="CI13" s="200"/>
      <c r="CJ13" s="200"/>
      <c r="CK13" s="200"/>
      <c r="CL13" s="200"/>
      <c r="CM13" s="200"/>
      <c r="CN13" s="200"/>
      <c r="CO13" s="200"/>
      <c r="CP13" s="200"/>
      <c r="CQ13" s="200"/>
      <c r="CR13" s="200"/>
      <c r="CS13" s="200"/>
      <c r="CT13" s="200"/>
      <c r="CU13" s="200"/>
      <c r="CV13" s="200"/>
      <c r="CW13" s="200"/>
      <c r="CX13" s="200"/>
      <c r="CY13" s="200"/>
      <c r="CZ13" s="200"/>
      <c r="DA13" s="200"/>
      <c r="DB13" s="200"/>
      <c r="DC13" s="200"/>
      <c r="DD13" s="200"/>
      <c r="DE13" s="200"/>
      <c r="DF13" s="200"/>
      <c r="DG13" s="200"/>
      <c r="DH13" s="200"/>
      <c r="DI13" s="200"/>
      <c r="DJ13" s="200"/>
      <c r="DK13" s="200"/>
      <c r="DL13" s="200"/>
      <c r="DM13" s="200"/>
      <c r="DN13" s="200"/>
      <c r="DO13" s="200"/>
      <c r="DP13" s="200"/>
      <c r="DQ13" s="200"/>
      <c r="DR13" s="200"/>
      <c r="DS13" s="200"/>
      <c r="DT13" s="200"/>
      <c r="DU13" s="200"/>
      <c r="DV13" s="200"/>
      <c r="DW13" s="200"/>
      <c r="DX13" s="200"/>
      <c r="DY13" s="200"/>
      <c r="DZ13" s="200"/>
      <c r="EA13" s="200"/>
      <c r="EB13" s="200"/>
      <c r="EC13" s="200"/>
      <c r="ED13" s="200"/>
      <c r="EE13" s="200"/>
      <c r="EF13" s="200"/>
      <c r="EG13" s="200"/>
      <c r="EH13" s="200"/>
      <c r="EI13" s="200"/>
      <c r="EJ13" s="200"/>
      <c r="EK13" s="200"/>
      <c r="EL13" s="200"/>
      <c r="EM13" s="200"/>
      <c r="EN13" s="200"/>
      <c r="EO13" s="200"/>
      <c r="EP13" s="200"/>
      <c r="EQ13" s="200"/>
      <c r="ER13" s="200"/>
      <c r="ES13" s="200"/>
      <c r="ET13" s="200"/>
      <c r="EU13" s="200"/>
      <c r="EV13" s="200"/>
      <c r="EW13" s="200"/>
      <c r="EX13" s="200"/>
      <c r="EY13" s="200"/>
      <c r="EZ13" s="200"/>
      <c r="FA13" s="200"/>
      <c r="FB13" s="200"/>
      <c r="FC13" s="200"/>
      <c r="FD13" s="200"/>
      <c r="FE13" s="200"/>
      <c r="FF13" s="200"/>
      <c r="FG13" s="200"/>
      <c r="FH13" s="200"/>
      <c r="FI13" s="200"/>
      <c r="FJ13" s="200"/>
      <c r="FK13" s="200"/>
      <c r="FL13" s="200"/>
      <c r="FM13" s="200"/>
      <c r="FN13" s="200"/>
      <c r="FO13" s="200"/>
      <c r="FP13" s="200"/>
      <c r="FQ13" s="200"/>
      <c r="FR13" s="200"/>
      <c r="FS13" s="200"/>
      <c r="FT13" s="200"/>
      <c r="FU13" s="200"/>
      <c r="FV13" s="200"/>
      <c r="FW13" s="200"/>
      <c r="FX13" s="200"/>
      <c r="FY13" s="200"/>
      <c r="FZ13" s="200"/>
      <c r="GA13" s="200"/>
      <c r="GB13" s="200"/>
      <c r="GC13" s="200"/>
      <c r="GD13" s="200"/>
      <c r="GE13" s="200"/>
      <c r="GF13" s="200"/>
      <c r="GG13" s="200"/>
      <c r="GH13" s="200"/>
      <c r="GI13" s="200"/>
      <c r="GJ13" s="200"/>
      <c r="GK13" s="200"/>
      <c r="GL13" s="200"/>
      <c r="GM13" s="200"/>
      <c r="GN13" s="200"/>
      <c r="GO13" s="200"/>
      <c r="GP13" s="200"/>
      <c r="GQ13" s="200"/>
      <c r="GR13" s="200"/>
      <c r="GS13" s="200"/>
      <c r="GT13" s="200"/>
      <c r="GU13" s="200"/>
      <c r="GV13" s="200"/>
      <c r="GW13" s="200"/>
      <c r="GX13" s="200"/>
      <c r="GY13" s="200"/>
      <c r="GZ13" s="200"/>
      <c r="HA13" s="200"/>
      <c r="HB13" s="200"/>
      <c r="HC13" s="200"/>
      <c r="HD13" s="200"/>
      <c r="HE13" s="200"/>
      <c r="HF13" s="200"/>
      <c r="HG13" s="200"/>
      <c r="HH13" s="200"/>
      <c r="HI13" s="200"/>
      <c r="HJ13" s="200"/>
      <c r="HK13" s="200"/>
      <c r="HL13" s="200"/>
      <c r="HM13" s="200"/>
      <c r="HN13" s="200"/>
      <c r="HO13" s="200"/>
      <c r="HP13" s="200"/>
      <c r="HQ13" s="200"/>
      <c r="HR13" s="200"/>
      <c r="HS13" s="200"/>
      <c r="HT13" s="200"/>
      <c r="HU13" s="200"/>
      <c r="HV13" s="200"/>
      <c r="HW13" s="200"/>
      <c r="HX13" s="200"/>
      <c r="HY13" s="200"/>
      <c r="HZ13" s="200"/>
      <c r="IA13" s="200"/>
      <c r="IB13" s="200"/>
      <c r="IC13" s="200"/>
      <c r="ID13" s="200"/>
      <c r="IE13" s="200"/>
      <c r="IF13" s="200"/>
      <c r="IG13" s="200"/>
      <c r="IH13" s="200"/>
      <c r="II13" s="200"/>
      <c r="IJ13" s="200"/>
      <c r="IK13" s="200"/>
      <c r="IL13" s="200"/>
      <c r="IM13" s="200"/>
      <c r="IN13" s="200"/>
      <c r="IO13" s="200"/>
      <c r="IP13" s="200"/>
      <c r="IQ13" s="200"/>
      <c r="IR13" s="200"/>
      <c r="IS13" s="200"/>
      <c r="IT13" s="200"/>
      <c r="IU13" s="200"/>
      <c r="IV13" s="200"/>
    </row>
    <row r="14" spans="1:256" ht="21.75" customHeight="1">
      <c r="A14" s="185">
        <v>2</v>
      </c>
      <c r="B14" s="309" t="s">
        <v>371</v>
      </c>
      <c r="C14" s="309"/>
      <c r="D14" s="236">
        <f>SUM(D15:D15)</f>
        <v>300000000</v>
      </c>
      <c r="E14" s="191"/>
      <c r="F14" s="231"/>
      <c r="G14" s="231"/>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1"/>
      <c r="AY14" s="231"/>
      <c r="AZ14" s="231"/>
      <c r="BA14" s="231"/>
      <c r="BB14" s="231"/>
      <c r="BC14" s="231"/>
      <c r="BD14" s="231"/>
      <c r="BE14" s="231"/>
      <c r="BF14" s="231"/>
      <c r="BG14" s="231"/>
      <c r="BH14" s="231"/>
      <c r="BI14" s="231"/>
      <c r="BJ14" s="231"/>
      <c r="BK14" s="231"/>
      <c r="BL14" s="231"/>
      <c r="BM14" s="231"/>
      <c r="BN14" s="231"/>
      <c r="BO14" s="231"/>
      <c r="BP14" s="231"/>
      <c r="BQ14" s="231"/>
      <c r="BR14" s="231"/>
      <c r="BS14" s="231"/>
      <c r="BT14" s="231"/>
      <c r="BU14" s="231"/>
      <c r="BV14" s="231"/>
      <c r="BW14" s="231"/>
      <c r="BX14" s="231"/>
      <c r="BY14" s="231"/>
      <c r="BZ14" s="231"/>
      <c r="CA14" s="231"/>
      <c r="CB14" s="231"/>
      <c r="CC14" s="231"/>
      <c r="CD14" s="231"/>
      <c r="CE14" s="231"/>
      <c r="CF14" s="231"/>
      <c r="CG14" s="231"/>
      <c r="CH14" s="231"/>
      <c r="CI14" s="231"/>
      <c r="CJ14" s="231"/>
      <c r="CK14" s="231"/>
      <c r="CL14" s="231"/>
      <c r="CM14" s="231"/>
      <c r="CN14" s="231"/>
      <c r="CO14" s="231"/>
      <c r="CP14" s="231"/>
      <c r="CQ14" s="231"/>
      <c r="CR14" s="231"/>
      <c r="CS14" s="231"/>
      <c r="CT14" s="231"/>
      <c r="CU14" s="231"/>
      <c r="CV14" s="231"/>
      <c r="CW14" s="231"/>
      <c r="CX14" s="231"/>
      <c r="CY14" s="231"/>
      <c r="CZ14" s="231"/>
      <c r="DA14" s="231"/>
      <c r="DB14" s="231"/>
      <c r="DC14" s="231"/>
      <c r="DD14" s="231"/>
      <c r="DE14" s="231"/>
      <c r="DF14" s="231"/>
      <c r="DG14" s="231"/>
      <c r="DH14" s="231"/>
      <c r="DI14" s="231"/>
      <c r="DJ14" s="231"/>
      <c r="DK14" s="231"/>
      <c r="DL14" s="231"/>
      <c r="DM14" s="231"/>
      <c r="DN14" s="231"/>
      <c r="DO14" s="231"/>
      <c r="DP14" s="231"/>
      <c r="DQ14" s="231"/>
      <c r="DR14" s="231"/>
      <c r="DS14" s="231"/>
      <c r="DT14" s="231"/>
      <c r="DU14" s="231"/>
      <c r="DV14" s="231"/>
      <c r="DW14" s="231"/>
      <c r="DX14" s="231"/>
      <c r="DY14" s="231"/>
      <c r="DZ14" s="231"/>
      <c r="EA14" s="231"/>
      <c r="EB14" s="231"/>
      <c r="EC14" s="231"/>
      <c r="ED14" s="231"/>
      <c r="EE14" s="231"/>
      <c r="EF14" s="231"/>
      <c r="EG14" s="231"/>
      <c r="EH14" s="231"/>
      <c r="EI14" s="231"/>
      <c r="EJ14" s="231"/>
      <c r="EK14" s="231"/>
      <c r="EL14" s="231"/>
      <c r="EM14" s="231"/>
      <c r="EN14" s="231"/>
      <c r="EO14" s="231"/>
      <c r="EP14" s="231"/>
      <c r="EQ14" s="231"/>
      <c r="ER14" s="231"/>
      <c r="ES14" s="231"/>
      <c r="ET14" s="231"/>
      <c r="EU14" s="231"/>
      <c r="EV14" s="231"/>
      <c r="EW14" s="231"/>
      <c r="EX14" s="231"/>
      <c r="EY14" s="231"/>
      <c r="EZ14" s="231"/>
      <c r="FA14" s="231"/>
      <c r="FB14" s="231"/>
      <c r="FC14" s="231"/>
      <c r="FD14" s="231"/>
      <c r="FE14" s="231"/>
      <c r="FF14" s="231"/>
      <c r="FG14" s="231"/>
      <c r="FH14" s="231"/>
      <c r="FI14" s="231"/>
      <c r="FJ14" s="231"/>
      <c r="FK14" s="231"/>
      <c r="FL14" s="231"/>
      <c r="FM14" s="231"/>
      <c r="FN14" s="231"/>
      <c r="FO14" s="231"/>
      <c r="FP14" s="231"/>
      <c r="FQ14" s="231"/>
      <c r="FR14" s="231"/>
      <c r="FS14" s="231"/>
      <c r="FT14" s="231"/>
      <c r="FU14" s="231"/>
      <c r="FV14" s="231"/>
      <c r="FW14" s="231"/>
      <c r="FX14" s="231"/>
      <c r="FY14" s="231"/>
      <c r="FZ14" s="231"/>
      <c r="GA14" s="231"/>
      <c r="GB14" s="231"/>
      <c r="GC14" s="231"/>
      <c r="GD14" s="231"/>
      <c r="GE14" s="231"/>
      <c r="GF14" s="231"/>
      <c r="GG14" s="231"/>
      <c r="GH14" s="231"/>
      <c r="GI14" s="231"/>
      <c r="GJ14" s="231"/>
      <c r="GK14" s="231"/>
      <c r="GL14" s="231"/>
      <c r="GM14" s="231"/>
      <c r="GN14" s="231"/>
      <c r="GO14" s="231"/>
      <c r="GP14" s="231"/>
      <c r="GQ14" s="231"/>
      <c r="GR14" s="231"/>
      <c r="GS14" s="231"/>
      <c r="GT14" s="231"/>
      <c r="GU14" s="231"/>
      <c r="GV14" s="231"/>
      <c r="GW14" s="231"/>
      <c r="GX14" s="231"/>
      <c r="GY14" s="231"/>
      <c r="GZ14" s="231"/>
      <c r="HA14" s="231"/>
      <c r="HB14" s="231"/>
      <c r="HC14" s="231"/>
      <c r="HD14" s="231"/>
      <c r="HE14" s="231"/>
      <c r="HF14" s="231"/>
      <c r="HG14" s="231"/>
      <c r="HH14" s="231"/>
      <c r="HI14" s="231"/>
      <c r="HJ14" s="231"/>
      <c r="HK14" s="231"/>
      <c r="HL14" s="231"/>
      <c r="HM14" s="231"/>
      <c r="HN14" s="231"/>
      <c r="HO14" s="231"/>
      <c r="HP14" s="231"/>
      <c r="HQ14" s="231"/>
      <c r="HR14" s="231"/>
      <c r="HS14" s="231"/>
      <c r="HT14" s="231"/>
      <c r="HU14" s="231"/>
      <c r="HV14" s="231"/>
      <c r="HW14" s="231"/>
      <c r="HX14" s="231"/>
      <c r="HY14" s="231"/>
      <c r="HZ14" s="231"/>
      <c r="IA14" s="231"/>
      <c r="IB14" s="231"/>
      <c r="IC14" s="231"/>
      <c r="ID14" s="231"/>
      <c r="IE14" s="231"/>
      <c r="IF14" s="231"/>
      <c r="IG14" s="231"/>
      <c r="IH14" s="231"/>
      <c r="II14" s="231"/>
      <c r="IJ14" s="231"/>
      <c r="IK14" s="231"/>
      <c r="IL14" s="231"/>
      <c r="IM14" s="231"/>
      <c r="IN14" s="231"/>
      <c r="IO14" s="231"/>
      <c r="IP14" s="231"/>
      <c r="IQ14" s="231"/>
      <c r="IR14" s="231"/>
      <c r="IS14" s="231"/>
      <c r="IT14" s="231"/>
      <c r="IU14" s="231"/>
      <c r="IV14" s="231"/>
    </row>
    <row r="15" spans="1:256" ht="36" customHeight="1">
      <c r="A15" s="247" t="s">
        <v>191</v>
      </c>
      <c r="B15" s="248" t="s">
        <v>372</v>
      </c>
      <c r="C15" s="249" t="s">
        <v>373</v>
      </c>
      <c r="D15" s="250">
        <f>'[2]02 TTr UBND'!Q34</f>
        <v>300000000</v>
      </c>
      <c r="E15" s="248" t="s">
        <v>394</v>
      </c>
      <c r="F15" s="241"/>
      <c r="G15" s="241"/>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1"/>
      <c r="AM15" s="241"/>
      <c r="AN15" s="241"/>
      <c r="AO15" s="241"/>
      <c r="AP15" s="241"/>
      <c r="AQ15" s="241"/>
      <c r="AR15" s="241"/>
      <c r="AS15" s="241"/>
      <c r="AT15" s="241"/>
      <c r="AU15" s="241"/>
      <c r="AV15" s="241"/>
      <c r="AW15" s="241"/>
      <c r="AX15" s="241"/>
      <c r="AY15" s="241"/>
      <c r="AZ15" s="241"/>
      <c r="BA15" s="241"/>
      <c r="BB15" s="241"/>
      <c r="BC15" s="241"/>
      <c r="BD15" s="241"/>
      <c r="BE15" s="241"/>
      <c r="BF15" s="241"/>
      <c r="BG15" s="241"/>
      <c r="BH15" s="241"/>
      <c r="BI15" s="241"/>
      <c r="BJ15" s="241"/>
      <c r="BK15" s="241"/>
      <c r="BL15" s="241"/>
      <c r="BM15" s="241"/>
      <c r="BN15" s="241"/>
      <c r="BO15" s="241"/>
      <c r="BP15" s="241"/>
      <c r="BQ15" s="241"/>
      <c r="BR15" s="241"/>
      <c r="BS15" s="241"/>
      <c r="BT15" s="241"/>
      <c r="BU15" s="241"/>
      <c r="BV15" s="241"/>
      <c r="BW15" s="241"/>
      <c r="BX15" s="241"/>
      <c r="BY15" s="241"/>
      <c r="BZ15" s="241"/>
      <c r="CA15" s="241"/>
      <c r="CB15" s="241"/>
      <c r="CC15" s="241"/>
      <c r="CD15" s="241"/>
      <c r="CE15" s="241"/>
      <c r="CF15" s="241"/>
      <c r="CG15" s="241"/>
      <c r="CH15" s="241"/>
      <c r="CI15" s="241"/>
      <c r="CJ15" s="241"/>
      <c r="CK15" s="241"/>
      <c r="CL15" s="241"/>
      <c r="CM15" s="241"/>
      <c r="CN15" s="241"/>
      <c r="CO15" s="241"/>
      <c r="CP15" s="241"/>
      <c r="CQ15" s="241"/>
      <c r="CR15" s="241"/>
      <c r="CS15" s="241"/>
      <c r="CT15" s="241"/>
      <c r="CU15" s="241"/>
      <c r="CV15" s="241"/>
      <c r="CW15" s="241"/>
      <c r="CX15" s="241"/>
      <c r="CY15" s="241"/>
      <c r="CZ15" s="241"/>
      <c r="DA15" s="241"/>
      <c r="DB15" s="241"/>
      <c r="DC15" s="241"/>
      <c r="DD15" s="241"/>
      <c r="DE15" s="241"/>
      <c r="DF15" s="241"/>
      <c r="DG15" s="241"/>
      <c r="DH15" s="241"/>
      <c r="DI15" s="241"/>
      <c r="DJ15" s="241"/>
      <c r="DK15" s="241"/>
      <c r="DL15" s="241"/>
      <c r="DM15" s="241"/>
      <c r="DN15" s="241"/>
      <c r="DO15" s="241"/>
      <c r="DP15" s="241"/>
      <c r="DQ15" s="241"/>
      <c r="DR15" s="241"/>
      <c r="DS15" s="241"/>
      <c r="DT15" s="241"/>
      <c r="DU15" s="241"/>
      <c r="DV15" s="241"/>
      <c r="DW15" s="241"/>
      <c r="DX15" s="241"/>
      <c r="DY15" s="241"/>
      <c r="DZ15" s="241"/>
      <c r="EA15" s="241"/>
      <c r="EB15" s="241"/>
      <c r="EC15" s="241"/>
      <c r="ED15" s="241"/>
      <c r="EE15" s="241"/>
      <c r="EF15" s="241"/>
      <c r="EG15" s="241"/>
      <c r="EH15" s="241"/>
      <c r="EI15" s="241"/>
      <c r="EJ15" s="241"/>
      <c r="EK15" s="241"/>
      <c r="EL15" s="241"/>
      <c r="EM15" s="241"/>
      <c r="EN15" s="241"/>
      <c r="EO15" s="241"/>
      <c r="EP15" s="241"/>
      <c r="EQ15" s="241"/>
      <c r="ER15" s="241"/>
      <c r="ES15" s="241"/>
      <c r="ET15" s="241"/>
      <c r="EU15" s="241"/>
      <c r="EV15" s="241"/>
      <c r="EW15" s="241"/>
      <c r="EX15" s="241"/>
      <c r="EY15" s="241"/>
      <c r="EZ15" s="241"/>
      <c r="FA15" s="241"/>
      <c r="FB15" s="241"/>
      <c r="FC15" s="241"/>
      <c r="FD15" s="241"/>
      <c r="FE15" s="241"/>
      <c r="FF15" s="241"/>
      <c r="FG15" s="241"/>
      <c r="FH15" s="241"/>
      <c r="FI15" s="241"/>
      <c r="FJ15" s="241"/>
      <c r="FK15" s="241"/>
      <c r="FL15" s="241"/>
      <c r="FM15" s="241"/>
      <c r="FN15" s="241"/>
      <c r="FO15" s="241"/>
      <c r="FP15" s="241"/>
      <c r="FQ15" s="241"/>
      <c r="FR15" s="241"/>
      <c r="FS15" s="241"/>
      <c r="FT15" s="241"/>
      <c r="FU15" s="241"/>
      <c r="FV15" s="241"/>
      <c r="FW15" s="241"/>
      <c r="FX15" s="241"/>
      <c r="FY15" s="241"/>
      <c r="FZ15" s="241"/>
      <c r="GA15" s="241"/>
      <c r="GB15" s="241"/>
      <c r="GC15" s="241"/>
      <c r="GD15" s="241"/>
      <c r="GE15" s="241"/>
      <c r="GF15" s="241"/>
      <c r="GG15" s="241"/>
      <c r="GH15" s="241"/>
      <c r="GI15" s="241"/>
      <c r="GJ15" s="241"/>
      <c r="GK15" s="241"/>
      <c r="GL15" s="241"/>
      <c r="GM15" s="241"/>
      <c r="GN15" s="241"/>
      <c r="GO15" s="241"/>
      <c r="GP15" s="241"/>
      <c r="GQ15" s="241"/>
      <c r="GR15" s="241"/>
      <c r="GS15" s="241"/>
      <c r="GT15" s="241"/>
      <c r="GU15" s="241"/>
      <c r="GV15" s="241"/>
      <c r="GW15" s="241"/>
      <c r="GX15" s="241"/>
      <c r="GY15" s="241"/>
      <c r="GZ15" s="241"/>
      <c r="HA15" s="241"/>
      <c r="HB15" s="241"/>
      <c r="HC15" s="241"/>
      <c r="HD15" s="241"/>
      <c r="HE15" s="241"/>
      <c r="HF15" s="241"/>
      <c r="HG15" s="241"/>
      <c r="HH15" s="241"/>
      <c r="HI15" s="241"/>
      <c r="HJ15" s="241"/>
      <c r="HK15" s="241"/>
      <c r="HL15" s="241"/>
      <c r="HM15" s="241"/>
      <c r="HN15" s="241"/>
      <c r="HO15" s="241"/>
      <c r="HP15" s="241"/>
      <c r="HQ15" s="241"/>
      <c r="HR15" s="241"/>
      <c r="HS15" s="241"/>
      <c r="HT15" s="241"/>
      <c r="HU15" s="241"/>
      <c r="HV15" s="241"/>
      <c r="HW15" s="241"/>
      <c r="HX15" s="241"/>
      <c r="HY15" s="241"/>
      <c r="HZ15" s="241"/>
      <c r="IA15" s="241"/>
      <c r="IB15" s="241"/>
      <c r="IC15" s="241"/>
      <c r="ID15" s="241"/>
      <c r="IE15" s="241"/>
      <c r="IF15" s="241"/>
      <c r="IG15" s="241"/>
      <c r="IH15" s="241"/>
      <c r="II15" s="241"/>
      <c r="IJ15" s="241"/>
      <c r="IK15" s="241"/>
      <c r="IL15" s="241"/>
      <c r="IM15" s="241"/>
      <c r="IN15" s="241"/>
      <c r="IO15" s="241"/>
      <c r="IP15" s="241"/>
      <c r="IQ15" s="241"/>
      <c r="IR15" s="241"/>
      <c r="IS15" s="241"/>
      <c r="IT15" s="241"/>
      <c r="IU15" s="241"/>
      <c r="IV15" s="241"/>
    </row>
    <row r="16" spans="1:256" ht="23.25" customHeight="1">
      <c r="A16" s="185">
        <v>3</v>
      </c>
      <c r="B16" s="309" t="s">
        <v>374</v>
      </c>
      <c r="C16" s="309"/>
      <c r="D16" s="236">
        <f>SUM(D17:D18)</f>
        <v>661906000</v>
      </c>
      <c r="E16" s="248"/>
      <c r="F16" s="190"/>
      <c r="G16" s="190"/>
      <c r="H16" s="190"/>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c r="AF16" s="190"/>
      <c r="AG16" s="190"/>
      <c r="AH16" s="190"/>
      <c r="AI16" s="190"/>
      <c r="AJ16" s="190"/>
      <c r="AK16" s="190"/>
      <c r="AL16" s="190"/>
      <c r="AM16" s="190"/>
      <c r="AN16" s="190"/>
      <c r="AO16" s="190"/>
      <c r="AP16" s="190"/>
      <c r="AQ16" s="190"/>
      <c r="AR16" s="190"/>
      <c r="AS16" s="190"/>
      <c r="AT16" s="190"/>
      <c r="AU16" s="190"/>
      <c r="AV16" s="190"/>
      <c r="AW16" s="190"/>
      <c r="AX16" s="190"/>
      <c r="AY16" s="190"/>
      <c r="AZ16" s="190"/>
      <c r="BA16" s="190"/>
      <c r="BB16" s="190"/>
      <c r="BC16" s="190"/>
      <c r="BD16" s="190"/>
      <c r="BE16" s="190"/>
      <c r="BF16" s="190"/>
      <c r="BG16" s="190"/>
      <c r="BH16" s="190"/>
      <c r="BI16" s="190"/>
      <c r="BJ16" s="190"/>
      <c r="BK16" s="190"/>
      <c r="BL16" s="190"/>
      <c r="BM16" s="190"/>
      <c r="BN16" s="190"/>
      <c r="BO16" s="190"/>
      <c r="BP16" s="190"/>
      <c r="BQ16" s="190"/>
      <c r="BR16" s="190"/>
      <c r="BS16" s="190"/>
      <c r="BT16" s="190"/>
      <c r="BU16" s="190"/>
      <c r="BV16" s="190"/>
      <c r="BW16" s="190"/>
      <c r="BX16" s="190"/>
      <c r="BY16" s="190"/>
      <c r="BZ16" s="190"/>
      <c r="CA16" s="190"/>
      <c r="CB16" s="190"/>
      <c r="CC16" s="190"/>
      <c r="CD16" s="190"/>
      <c r="CE16" s="190"/>
      <c r="CF16" s="190"/>
      <c r="CG16" s="190"/>
      <c r="CH16" s="190"/>
      <c r="CI16" s="190"/>
      <c r="CJ16" s="190"/>
      <c r="CK16" s="190"/>
      <c r="CL16" s="190"/>
      <c r="CM16" s="190"/>
      <c r="CN16" s="190"/>
      <c r="CO16" s="190"/>
      <c r="CP16" s="190"/>
      <c r="CQ16" s="190"/>
      <c r="CR16" s="190"/>
      <c r="CS16" s="190"/>
      <c r="CT16" s="190"/>
      <c r="CU16" s="190"/>
      <c r="CV16" s="190"/>
      <c r="CW16" s="190"/>
      <c r="CX16" s="190"/>
      <c r="CY16" s="190"/>
      <c r="CZ16" s="190"/>
      <c r="DA16" s="190"/>
      <c r="DB16" s="190"/>
      <c r="DC16" s="190"/>
      <c r="DD16" s="190"/>
      <c r="DE16" s="190"/>
      <c r="DF16" s="190"/>
      <c r="DG16" s="190"/>
      <c r="DH16" s="190"/>
      <c r="DI16" s="190"/>
      <c r="DJ16" s="190"/>
      <c r="DK16" s="190"/>
      <c r="DL16" s="190"/>
      <c r="DM16" s="190"/>
      <c r="DN16" s="190"/>
      <c r="DO16" s="190"/>
      <c r="DP16" s="190"/>
      <c r="DQ16" s="190"/>
      <c r="DR16" s="190"/>
      <c r="DS16" s="190"/>
      <c r="DT16" s="190"/>
      <c r="DU16" s="190"/>
      <c r="DV16" s="190"/>
      <c r="DW16" s="190"/>
      <c r="DX16" s="190"/>
      <c r="DY16" s="190"/>
      <c r="DZ16" s="190"/>
      <c r="EA16" s="190"/>
      <c r="EB16" s="190"/>
      <c r="EC16" s="190"/>
      <c r="ED16" s="190"/>
      <c r="EE16" s="190"/>
      <c r="EF16" s="190"/>
      <c r="EG16" s="190"/>
      <c r="EH16" s="190"/>
      <c r="EI16" s="190"/>
      <c r="EJ16" s="190"/>
      <c r="EK16" s="190"/>
      <c r="EL16" s="190"/>
      <c r="EM16" s="190"/>
      <c r="EN16" s="190"/>
      <c r="EO16" s="190"/>
      <c r="EP16" s="190"/>
      <c r="EQ16" s="190"/>
      <c r="ER16" s="190"/>
      <c r="ES16" s="190"/>
      <c r="ET16" s="190"/>
      <c r="EU16" s="190"/>
      <c r="EV16" s="190"/>
      <c r="EW16" s="190"/>
      <c r="EX16" s="190"/>
      <c r="EY16" s="190"/>
      <c r="EZ16" s="190"/>
      <c r="FA16" s="190"/>
      <c r="FB16" s="190"/>
      <c r="FC16" s="190"/>
      <c r="FD16" s="190"/>
      <c r="FE16" s="190"/>
      <c r="FF16" s="190"/>
      <c r="FG16" s="190"/>
      <c r="FH16" s="190"/>
      <c r="FI16" s="190"/>
      <c r="FJ16" s="190"/>
      <c r="FK16" s="190"/>
      <c r="FL16" s="190"/>
      <c r="FM16" s="190"/>
      <c r="FN16" s="190"/>
      <c r="FO16" s="190"/>
      <c r="FP16" s="190"/>
      <c r="FQ16" s="190"/>
      <c r="FR16" s="190"/>
      <c r="FS16" s="190"/>
      <c r="FT16" s="190"/>
      <c r="FU16" s="190"/>
      <c r="FV16" s="190"/>
      <c r="FW16" s="190"/>
      <c r="FX16" s="190"/>
      <c r="FY16" s="190"/>
      <c r="FZ16" s="190"/>
      <c r="GA16" s="190"/>
      <c r="GB16" s="190"/>
      <c r="GC16" s="190"/>
      <c r="GD16" s="190"/>
      <c r="GE16" s="190"/>
      <c r="GF16" s="190"/>
      <c r="GG16" s="190"/>
      <c r="GH16" s="190"/>
      <c r="GI16" s="190"/>
      <c r="GJ16" s="190"/>
      <c r="GK16" s="190"/>
      <c r="GL16" s="190"/>
      <c r="GM16" s="190"/>
      <c r="GN16" s="190"/>
      <c r="GO16" s="190"/>
      <c r="GP16" s="190"/>
      <c r="GQ16" s="190"/>
      <c r="GR16" s="190"/>
      <c r="GS16" s="190"/>
      <c r="GT16" s="190"/>
      <c r="GU16" s="190"/>
      <c r="GV16" s="190"/>
      <c r="GW16" s="190"/>
      <c r="GX16" s="190"/>
      <c r="GY16" s="190"/>
      <c r="GZ16" s="190"/>
      <c r="HA16" s="190"/>
      <c r="HB16" s="190"/>
      <c r="HC16" s="190"/>
      <c r="HD16" s="190"/>
      <c r="HE16" s="190"/>
      <c r="HF16" s="190"/>
      <c r="HG16" s="190"/>
      <c r="HH16" s="190"/>
      <c r="HI16" s="190"/>
      <c r="HJ16" s="190"/>
      <c r="HK16" s="190"/>
      <c r="HL16" s="190"/>
      <c r="HM16" s="190"/>
      <c r="HN16" s="190"/>
      <c r="HO16" s="190"/>
      <c r="HP16" s="190"/>
      <c r="HQ16" s="190"/>
      <c r="HR16" s="190"/>
      <c r="HS16" s="190"/>
      <c r="HT16" s="190"/>
      <c r="HU16" s="190"/>
      <c r="HV16" s="190"/>
      <c r="HW16" s="190"/>
      <c r="HX16" s="190"/>
      <c r="HY16" s="190"/>
      <c r="HZ16" s="190"/>
      <c r="IA16" s="190"/>
      <c r="IB16" s="190"/>
      <c r="IC16" s="190"/>
      <c r="ID16" s="190"/>
      <c r="IE16" s="190"/>
      <c r="IF16" s="190"/>
      <c r="IG16" s="190"/>
      <c r="IH16" s="190"/>
      <c r="II16" s="190"/>
      <c r="IJ16" s="190"/>
      <c r="IK16" s="190"/>
      <c r="IL16" s="190"/>
      <c r="IM16" s="190"/>
      <c r="IN16" s="190"/>
      <c r="IO16" s="190"/>
      <c r="IP16" s="190"/>
      <c r="IQ16" s="190"/>
      <c r="IR16" s="190"/>
      <c r="IS16" s="190"/>
      <c r="IT16" s="190"/>
      <c r="IU16" s="190"/>
      <c r="IV16" s="190"/>
    </row>
    <row r="17" spans="1:256" ht="36" customHeight="1">
      <c r="A17" s="237" t="s">
        <v>284</v>
      </c>
      <c r="B17" s="238" t="s">
        <v>375</v>
      </c>
      <c r="C17" s="239" t="s">
        <v>376</v>
      </c>
      <c r="D17" s="240">
        <f>'[2]02 TTr UBND'!Q40</f>
        <v>313261000</v>
      </c>
      <c r="E17" s="307" t="s">
        <v>394</v>
      </c>
      <c r="F17" s="241"/>
      <c r="G17" s="241"/>
      <c r="H17" s="241"/>
      <c r="I17" s="241"/>
      <c r="J17" s="241"/>
      <c r="K17" s="241"/>
      <c r="L17" s="241"/>
      <c r="M17" s="241"/>
      <c r="N17" s="241"/>
      <c r="O17" s="241"/>
      <c r="P17" s="241"/>
      <c r="Q17" s="241"/>
      <c r="R17" s="241"/>
      <c r="S17" s="241"/>
      <c r="T17" s="241"/>
      <c r="U17" s="241"/>
      <c r="V17" s="241"/>
      <c r="W17" s="241"/>
      <c r="X17" s="241"/>
      <c r="Y17" s="241"/>
      <c r="Z17" s="241"/>
      <c r="AA17" s="241"/>
      <c r="AB17" s="241"/>
      <c r="AC17" s="241"/>
      <c r="AD17" s="241"/>
      <c r="AE17" s="241"/>
      <c r="AF17" s="241"/>
      <c r="AG17" s="241"/>
      <c r="AH17" s="241"/>
      <c r="AI17" s="241"/>
      <c r="AJ17" s="241"/>
      <c r="AK17" s="241"/>
      <c r="AL17" s="241"/>
      <c r="AM17" s="241"/>
      <c r="AN17" s="241"/>
      <c r="AO17" s="241"/>
      <c r="AP17" s="241"/>
      <c r="AQ17" s="241"/>
      <c r="AR17" s="241"/>
      <c r="AS17" s="241"/>
      <c r="AT17" s="241"/>
      <c r="AU17" s="241"/>
      <c r="AV17" s="241"/>
      <c r="AW17" s="241"/>
      <c r="AX17" s="241"/>
      <c r="AY17" s="241"/>
      <c r="AZ17" s="241"/>
      <c r="BA17" s="241"/>
      <c r="BB17" s="241"/>
      <c r="BC17" s="241"/>
      <c r="BD17" s="241"/>
      <c r="BE17" s="241"/>
      <c r="BF17" s="241"/>
      <c r="BG17" s="241"/>
      <c r="BH17" s="241"/>
      <c r="BI17" s="241"/>
      <c r="BJ17" s="241"/>
      <c r="BK17" s="241"/>
      <c r="BL17" s="241"/>
      <c r="BM17" s="241"/>
      <c r="BN17" s="241"/>
      <c r="BO17" s="241"/>
      <c r="BP17" s="241"/>
      <c r="BQ17" s="241"/>
      <c r="BR17" s="241"/>
      <c r="BS17" s="241"/>
      <c r="BT17" s="241"/>
      <c r="BU17" s="241"/>
      <c r="BV17" s="241"/>
      <c r="BW17" s="241"/>
      <c r="BX17" s="241"/>
      <c r="BY17" s="241"/>
      <c r="BZ17" s="241"/>
      <c r="CA17" s="241"/>
      <c r="CB17" s="241"/>
      <c r="CC17" s="241"/>
      <c r="CD17" s="241"/>
      <c r="CE17" s="241"/>
      <c r="CF17" s="241"/>
      <c r="CG17" s="241"/>
      <c r="CH17" s="241"/>
      <c r="CI17" s="241"/>
      <c r="CJ17" s="241"/>
      <c r="CK17" s="241"/>
      <c r="CL17" s="241"/>
      <c r="CM17" s="241"/>
      <c r="CN17" s="241"/>
      <c r="CO17" s="241"/>
      <c r="CP17" s="241"/>
      <c r="CQ17" s="241"/>
      <c r="CR17" s="241"/>
      <c r="CS17" s="241"/>
      <c r="CT17" s="241"/>
      <c r="CU17" s="241"/>
      <c r="CV17" s="241"/>
      <c r="CW17" s="241"/>
      <c r="CX17" s="241"/>
      <c r="CY17" s="241"/>
      <c r="CZ17" s="241"/>
      <c r="DA17" s="241"/>
      <c r="DB17" s="241"/>
      <c r="DC17" s="241"/>
      <c r="DD17" s="241"/>
      <c r="DE17" s="241"/>
      <c r="DF17" s="241"/>
      <c r="DG17" s="241"/>
      <c r="DH17" s="241"/>
      <c r="DI17" s="241"/>
      <c r="DJ17" s="241"/>
      <c r="DK17" s="241"/>
      <c r="DL17" s="241"/>
      <c r="DM17" s="241"/>
      <c r="DN17" s="241"/>
      <c r="DO17" s="241"/>
      <c r="DP17" s="241"/>
      <c r="DQ17" s="241"/>
      <c r="DR17" s="241"/>
      <c r="DS17" s="241"/>
      <c r="DT17" s="241"/>
      <c r="DU17" s="241"/>
      <c r="DV17" s="241"/>
      <c r="DW17" s="241"/>
      <c r="DX17" s="241"/>
      <c r="DY17" s="241"/>
      <c r="DZ17" s="241"/>
      <c r="EA17" s="241"/>
      <c r="EB17" s="241"/>
      <c r="EC17" s="241"/>
      <c r="ED17" s="241"/>
      <c r="EE17" s="241"/>
      <c r="EF17" s="241"/>
      <c r="EG17" s="241"/>
      <c r="EH17" s="241"/>
      <c r="EI17" s="241"/>
      <c r="EJ17" s="241"/>
      <c r="EK17" s="241"/>
      <c r="EL17" s="241"/>
      <c r="EM17" s="241"/>
      <c r="EN17" s="241"/>
      <c r="EO17" s="241"/>
      <c r="EP17" s="241"/>
      <c r="EQ17" s="241"/>
      <c r="ER17" s="241"/>
      <c r="ES17" s="241"/>
      <c r="ET17" s="241"/>
      <c r="EU17" s="241"/>
      <c r="EV17" s="241"/>
      <c r="EW17" s="241"/>
      <c r="EX17" s="241"/>
      <c r="EY17" s="241"/>
      <c r="EZ17" s="241"/>
      <c r="FA17" s="241"/>
      <c r="FB17" s="241"/>
      <c r="FC17" s="241"/>
      <c r="FD17" s="241"/>
      <c r="FE17" s="241"/>
      <c r="FF17" s="241"/>
      <c r="FG17" s="241"/>
      <c r="FH17" s="241"/>
      <c r="FI17" s="241"/>
      <c r="FJ17" s="241"/>
      <c r="FK17" s="241"/>
      <c r="FL17" s="241"/>
      <c r="FM17" s="241"/>
      <c r="FN17" s="241"/>
      <c r="FO17" s="241"/>
      <c r="FP17" s="241"/>
      <c r="FQ17" s="241"/>
      <c r="FR17" s="241"/>
      <c r="FS17" s="241"/>
      <c r="FT17" s="241"/>
      <c r="FU17" s="241"/>
      <c r="FV17" s="241"/>
      <c r="FW17" s="241"/>
      <c r="FX17" s="241"/>
      <c r="FY17" s="241"/>
      <c r="FZ17" s="241"/>
      <c r="GA17" s="241"/>
      <c r="GB17" s="241"/>
      <c r="GC17" s="241"/>
      <c r="GD17" s="241"/>
      <c r="GE17" s="241"/>
      <c r="GF17" s="241"/>
      <c r="GG17" s="241"/>
      <c r="GH17" s="241"/>
      <c r="GI17" s="241"/>
      <c r="GJ17" s="241"/>
      <c r="GK17" s="241"/>
      <c r="GL17" s="241"/>
      <c r="GM17" s="241"/>
      <c r="GN17" s="241"/>
      <c r="GO17" s="241"/>
      <c r="GP17" s="241"/>
      <c r="GQ17" s="241"/>
      <c r="GR17" s="241"/>
      <c r="GS17" s="241"/>
      <c r="GT17" s="241"/>
      <c r="GU17" s="241"/>
      <c r="GV17" s="241"/>
      <c r="GW17" s="241"/>
      <c r="GX17" s="241"/>
      <c r="GY17" s="241"/>
      <c r="GZ17" s="241"/>
      <c r="HA17" s="241"/>
      <c r="HB17" s="241"/>
      <c r="HC17" s="241"/>
      <c r="HD17" s="241"/>
      <c r="HE17" s="241"/>
      <c r="HF17" s="241"/>
      <c r="HG17" s="241"/>
      <c r="HH17" s="241"/>
      <c r="HI17" s="241"/>
      <c r="HJ17" s="241"/>
      <c r="HK17" s="241"/>
      <c r="HL17" s="241"/>
      <c r="HM17" s="241"/>
      <c r="HN17" s="241"/>
      <c r="HO17" s="241"/>
      <c r="HP17" s="241"/>
      <c r="HQ17" s="241"/>
      <c r="HR17" s="241"/>
      <c r="HS17" s="241"/>
      <c r="HT17" s="241"/>
      <c r="HU17" s="241"/>
      <c r="HV17" s="241"/>
      <c r="HW17" s="241"/>
      <c r="HX17" s="241"/>
      <c r="HY17" s="241"/>
      <c r="HZ17" s="241"/>
      <c r="IA17" s="241"/>
      <c r="IB17" s="241"/>
      <c r="IC17" s="241"/>
      <c r="ID17" s="241"/>
      <c r="IE17" s="241"/>
      <c r="IF17" s="241"/>
      <c r="IG17" s="241"/>
      <c r="IH17" s="241"/>
      <c r="II17" s="241"/>
      <c r="IJ17" s="241"/>
      <c r="IK17" s="241"/>
      <c r="IL17" s="241"/>
      <c r="IM17" s="241"/>
      <c r="IN17" s="241"/>
      <c r="IO17" s="241"/>
      <c r="IP17" s="241"/>
      <c r="IQ17" s="241"/>
      <c r="IR17" s="241"/>
      <c r="IS17" s="241"/>
      <c r="IT17" s="241"/>
      <c r="IU17" s="241"/>
      <c r="IV17" s="241"/>
    </row>
    <row r="18" spans="1:256" ht="36" customHeight="1">
      <c r="A18" s="242" t="s">
        <v>292</v>
      </c>
      <c r="B18" s="243" t="s">
        <v>293</v>
      </c>
      <c r="C18" s="244" t="s">
        <v>295</v>
      </c>
      <c r="D18" s="245">
        <f>'[2]02 TTr UBND'!Q45</f>
        <v>348645000</v>
      </c>
      <c r="E18" s="308"/>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c r="BV18" s="241"/>
      <c r="BW18" s="241"/>
      <c r="BX18" s="241"/>
      <c r="BY18" s="241"/>
      <c r="BZ18" s="241"/>
      <c r="CA18" s="241"/>
      <c r="CB18" s="241"/>
      <c r="CC18" s="241"/>
      <c r="CD18" s="241"/>
      <c r="CE18" s="241"/>
      <c r="CF18" s="241"/>
      <c r="CG18" s="241"/>
      <c r="CH18" s="241"/>
      <c r="CI18" s="241"/>
      <c r="CJ18" s="241"/>
      <c r="CK18" s="241"/>
      <c r="CL18" s="241"/>
      <c r="CM18" s="241"/>
      <c r="CN18" s="241"/>
      <c r="CO18" s="241"/>
      <c r="CP18" s="241"/>
      <c r="CQ18" s="241"/>
      <c r="CR18" s="241"/>
      <c r="CS18" s="241"/>
      <c r="CT18" s="241"/>
      <c r="CU18" s="241"/>
      <c r="CV18" s="241"/>
      <c r="CW18" s="241"/>
      <c r="CX18" s="241"/>
      <c r="CY18" s="241"/>
      <c r="CZ18" s="241"/>
      <c r="DA18" s="241"/>
      <c r="DB18" s="241"/>
      <c r="DC18" s="241"/>
      <c r="DD18" s="241"/>
      <c r="DE18" s="241"/>
      <c r="DF18" s="241"/>
      <c r="DG18" s="241"/>
      <c r="DH18" s="241"/>
      <c r="DI18" s="241"/>
      <c r="DJ18" s="241"/>
      <c r="DK18" s="241"/>
      <c r="DL18" s="241"/>
      <c r="DM18" s="241"/>
      <c r="DN18" s="241"/>
      <c r="DO18" s="241"/>
      <c r="DP18" s="241"/>
      <c r="DQ18" s="241"/>
      <c r="DR18" s="241"/>
      <c r="DS18" s="241"/>
      <c r="DT18" s="241"/>
      <c r="DU18" s="241"/>
      <c r="DV18" s="241"/>
      <c r="DW18" s="241"/>
      <c r="DX18" s="241"/>
      <c r="DY18" s="241"/>
      <c r="DZ18" s="241"/>
      <c r="EA18" s="241"/>
      <c r="EB18" s="241"/>
      <c r="EC18" s="241"/>
      <c r="ED18" s="241"/>
      <c r="EE18" s="241"/>
      <c r="EF18" s="241"/>
      <c r="EG18" s="241"/>
      <c r="EH18" s="241"/>
      <c r="EI18" s="241"/>
      <c r="EJ18" s="241"/>
      <c r="EK18" s="241"/>
      <c r="EL18" s="241"/>
      <c r="EM18" s="241"/>
      <c r="EN18" s="241"/>
      <c r="EO18" s="241"/>
      <c r="EP18" s="241"/>
      <c r="EQ18" s="241"/>
      <c r="ER18" s="241"/>
      <c r="ES18" s="241"/>
      <c r="ET18" s="241"/>
      <c r="EU18" s="241"/>
      <c r="EV18" s="241"/>
      <c r="EW18" s="241"/>
      <c r="EX18" s="241"/>
      <c r="EY18" s="241"/>
      <c r="EZ18" s="241"/>
      <c r="FA18" s="241"/>
      <c r="FB18" s="241"/>
      <c r="FC18" s="241"/>
      <c r="FD18" s="241"/>
      <c r="FE18" s="241"/>
      <c r="FF18" s="241"/>
      <c r="FG18" s="241"/>
      <c r="FH18" s="241"/>
      <c r="FI18" s="241"/>
      <c r="FJ18" s="241"/>
      <c r="FK18" s="241"/>
      <c r="FL18" s="241"/>
      <c r="FM18" s="241"/>
      <c r="FN18" s="241"/>
      <c r="FO18" s="241"/>
      <c r="FP18" s="241"/>
      <c r="FQ18" s="241"/>
      <c r="FR18" s="241"/>
      <c r="FS18" s="241"/>
      <c r="FT18" s="241"/>
      <c r="FU18" s="241"/>
      <c r="FV18" s="241"/>
      <c r="FW18" s="241"/>
      <c r="FX18" s="241"/>
      <c r="FY18" s="241"/>
      <c r="FZ18" s="241"/>
      <c r="GA18" s="241"/>
      <c r="GB18" s="241"/>
      <c r="GC18" s="241"/>
      <c r="GD18" s="241"/>
      <c r="GE18" s="241"/>
      <c r="GF18" s="241"/>
      <c r="GG18" s="241"/>
      <c r="GH18" s="241"/>
      <c r="GI18" s="241"/>
      <c r="GJ18" s="241"/>
      <c r="GK18" s="241"/>
      <c r="GL18" s="241"/>
      <c r="GM18" s="241"/>
      <c r="GN18" s="241"/>
      <c r="GO18" s="241"/>
      <c r="GP18" s="241"/>
      <c r="GQ18" s="241"/>
      <c r="GR18" s="241"/>
      <c r="GS18" s="241"/>
      <c r="GT18" s="241"/>
      <c r="GU18" s="241"/>
      <c r="GV18" s="241"/>
      <c r="GW18" s="241"/>
      <c r="GX18" s="241"/>
      <c r="GY18" s="241"/>
      <c r="GZ18" s="241"/>
      <c r="HA18" s="241"/>
      <c r="HB18" s="241"/>
      <c r="HC18" s="241"/>
      <c r="HD18" s="241"/>
      <c r="HE18" s="241"/>
      <c r="HF18" s="241"/>
      <c r="HG18" s="241"/>
      <c r="HH18" s="241"/>
      <c r="HI18" s="241"/>
      <c r="HJ18" s="241"/>
      <c r="HK18" s="241"/>
      <c r="HL18" s="241"/>
      <c r="HM18" s="241"/>
      <c r="HN18" s="241"/>
      <c r="HO18" s="241"/>
      <c r="HP18" s="241"/>
      <c r="HQ18" s="241"/>
      <c r="HR18" s="241"/>
      <c r="HS18" s="241"/>
      <c r="HT18" s="241"/>
      <c r="HU18" s="241"/>
      <c r="HV18" s="241"/>
      <c r="HW18" s="241"/>
      <c r="HX18" s="241"/>
      <c r="HY18" s="241"/>
      <c r="HZ18" s="241"/>
      <c r="IA18" s="241"/>
      <c r="IB18" s="241"/>
      <c r="IC18" s="241"/>
      <c r="ID18" s="241"/>
      <c r="IE18" s="241"/>
      <c r="IF18" s="241"/>
      <c r="IG18" s="241"/>
      <c r="IH18" s="241"/>
      <c r="II18" s="241"/>
      <c r="IJ18" s="241"/>
      <c r="IK18" s="241"/>
      <c r="IL18" s="241"/>
      <c r="IM18" s="241"/>
      <c r="IN18" s="241"/>
      <c r="IO18" s="241"/>
      <c r="IP18" s="241"/>
      <c r="IQ18" s="241"/>
      <c r="IR18" s="241"/>
      <c r="IS18" s="241"/>
      <c r="IT18" s="241"/>
      <c r="IU18" s="241"/>
      <c r="IV18" s="241"/>
    </row>
    <row r="19" spans="1:256" ht="23.25" customHeight="1">
      <c r="A19" s="185">
        <v>4</v>
      </c>
      <c r="B19" s="309" t="s">
        <v>377</v>
      </c>
      <c r="C19" s="309"/>
      <c r="D19" s="236">
        <f>SUM(D20:D22)</f>
        <v>1064455000</v>
      </c>
      <c r="E19" s="248"/>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0"/>
      <c r="BA19" s="190"/>
      <c r="BB19" s="190"/>
      <c r="BC19" s="190"/>
      <c r="BD19" s="190"/>
      <c r="BE19" s="190"/>
      <c r="BF19" s="190"/>
      <c r="BG19" s="190"/>
      <c r="BH19" s="190"/>
      <c r="BI19" s="190"/>
      <c r="BJ19" s="190"/>
      <c r="BK19" s="190"/>
      <c r="BL19" s="190"/>
      <c r="BM19" s="190"/>
      <c r="BN19" s="190"/>
      <c r="BO19" s="190"/>
      <c r="BP19" s="190"/>
      <c r="BQ19" s="190"/>
      <c r="BR19" s="190"/>
      <c r="BS19" s="190"/>
      <c r="BT19" s="190"/>
      <c r="BU19" s="190"/>
      <c r="BV19" s="190"/>
      <c r="BW19" s="190"/>
      <c r="BX19" s="190"/>
      <c r="BY19" s="190"/>
      <c r="BZ19" s="190"/>
      <c r="CA19" s="190"/>
      <c r="CB19" s="190"/>
      <c r="CC19" s="190"/>
      <c r="CD19" s="190"/>
      <c r="CE19" s="190"/>
      <c r="CF19" s="190"/>
      <c r="CG19" s="190"/>
      <c r="CH19" s="190"/>
      <c r="CI19" s="190"/>
      <c r="CJ19" s="190"/>
      <c r="CK19" s="190"/>
      <c r="CL19" s="190"/>
      <c r="CM19" s="190"/>
      <c r="CN19" s="190"/>
      <c r="CO19" s="190"/>
      <c r="CP19" s="190"/>
      <c r="CQ19" s="190"/>
      <c r="CR19" s="190"/>
      <c r="CS19" s="190"/>
      <c r="CT19" s="190"/>
      <c r="CU19" s="190"/>
      <c r="CV19" s="190"/>
      <c r="CW19" s="190"/>
      <c r="CX19" s="190"/>
      <c r="CY19" s="190"/>
      <c r="CZ19" s="190"/>
      <c r="DA19" s="190"/>
      <c r="DB19" s="190"/>
      <c r="DC19" s="190"/>
      <c r="DD19" s="190"/>
      <c r="DE19" s="190"/>
      <c r="DF19" s="190"/>
      <c r="DG19" s="190"/>
      <c r="DH19" s="190"/>
      <c r="DI19" s="190"/>
      <c r="DJ19" s="190"/>
      <c r="DK19" s="190"/>
      <c r="DL19" s="190"/>
      <c r="DM19" s="190"/>
      <c r="DN19" s="190"/>
      <c r="DO19" s="190"/>
      <c r="DP19" s="190"/>
      <c r="DQ19" s="190"/>
      <c r="DR19" s="190"/>
      <c r="DS19" s="190"/>
      <c r="DT19" s="190"/>
      <c r="DU19" s="190"/>
      <c r="DV19" s="190"/>
      <c r="DW19" s="190"/>
      <c r="DX19" s="190"/>
      <c r="DY19" s="190"/>
      <c r="DZ19" s="190"/>
      <c r="EA19" s="190"/>
      <c r="EB19" s="190"/>
      <c r="EC19" s="190"/>
      <c r="ED19" s="190"/>
      <c r="EE19" s="190"/>
      <c r="EF19" s="190"/>
      <c r="EG19" s="190"/>
      <c r="EH19" s="190"/>
      <c r="EI19" s="190"/>
      <c r="EJ19" s="190"/>
      <c r="EK19" s="190"/>
      <c r="EL19" s="190"/>
      <c r="EM19" s="190"/>
      <c r="EN19" s="190"/>
      <c r="EO19" s="190"/>
      <c r="EP19" s="190"/>
      <c r="EQ19" s="190"/>
      <c r="ER19" s="190"/>
      <c r="ES19" s="190"/>
      <c r="ET19" s="190"/>
      <c r="EU19" s="190"/>
      <c r="EV19" s="190"/>
      <c r="EW19" s="190"/>
      <c r="EX19" s="190"/>
      <c r="EY19" s="190"/>
      <c r="EZ19" s="190"/>
      <c r="FA19" s="190"/>
      <c r="FB19" s="190"/>
      <c r="FC19" s="190"/>
      <c r="FD19" s="190"/>
      <c r="FE19" s="190"/>
      <c r="FF19" s="190"/>
      <c r="FG19" s="190"/>
      <c r="FH19" s="190"/>
      <c r="FI19" s="190"/>
      <c r="FJ19" s="190"/>
      <c r="FK19" s="190"/>
      <c r="FL19" s="190"/>
      <c r="FM19" s="190"/>
      <c r="FN19" s="190"/>
      <c r="FO19" s="190"/>
      <c r="FP19" s="190"/>
      <c r="FQ19" s="190"/>
      <c r="FR19" s="190"/>
      <c r="FS19" s="190"/>
      <c r="FT19" s="190"/>
      <c r="FU19" s="190"/>
      <c r="FV19" s="190"/>
      <c r="FW19" s="190"/>
      <c r="FX19" s="190"/>
      <c r="FY19" s="190"/>
      <c r="FZ19" s="190"/>
      <c r="GA19" s="190"/>
      <c r="GB19" s="190"/>
      <c r="GC19" s="190"/>
      <c r="GD19" s="190"/>
      <c r="GE19" s="190"/>
      <c r="GF19" s="190"/>
      <c r="GG19" s="190"/>
      <c r="GH19" s="190"/>
      <c r="GI19" s="190"/>
      <c r="GJ19" s="190"/>
      <c r="GK19" s="190"/>
      <c r="GL19" s="190"/>
      <c r="GM19" s="190"/>
      <c r="GN19" s="190"/>
      <c r="GO19" s="190"/>
      <c r="GP19" s="190"/>
      <c r="GQ19" s="190"/>
      <c r="GR19" s="190"/>
      <c r="GS19" s="190"/>
      <c r="GT19" s="190"/>
      <c r="GU19" s="190"/>
      <c r="GV19" s="190"/>
      <c r="GW19" s="190"/>
      <c r="GX19" s="190"/>
      <c r="GY19" s="190"/>
      <c r="GZ19" s="190"/>
      <c r="HA19" s="190"/>
      <c r="HB19" s="190"/>
      <c r="HC19" s="190"/>
      <c r="HD19" s="190"/>
      <c r="HE19" s="190"/>
      <c r="HF19" s="190"/>
      <c r="HG19" s="190"/>
      <c r="HH19" s="190"/>
      <c r="HI19" s="190"/>
      <c r="HJ19" s="190"/>
      <c r="HK19" s="190"/>
      <c r="HL19" s="190"/>
      <c r="HM19" s="190"/>
      <c r="HN19" s="190"/>
      <c r="HO19" s="190"/>
      <c r="HP19" s="190"/>
      <c r="HQ19" s="190"/>
      <c r="HR19" s="190"/>
      <c r="HS19" s="190"/>
      <c r="HT19" s="190"/>
      <c r="HU19" s="190"/>
      <c r="HV19" s="190"/>
      <c r="HW19" s="190"/>
      <c r="HX19" s="190"/>
      <c r="HY19" s="190"/>
      <c r="HZ19" s="190"/>
      <c r="IA19" s="190"/>
      <c r="IB19" s="190"/>
      <c r="IC19" s="190"/>
      <c r="ID19" s="190"/>
      <c r="IE19" s="190"/>
      <c r="IF19" s="190"/>
      <c r="IG19" s="190"/>
      <c r="IH19" s="190"/>
      <c r="II19" s="190"/>
      <c r="IJ19" s="190"/>
      <c r="IK19" s="190"/>
      <c r="IL19" s="190"/>
      <c r="IM19" s="190"/>
      <c r="IN19" s="190"/>
      <c r="IO19" s="190"/>
      <c r="IP19" s="190"/>
      <c r="IQ19" s="190"/>
      <c r="IR19" s="190"/>
      <c r="IS19" s="190"/>
      <c r="IT19" s="190"/>
      <c r="IU19" s="190"/>
      <c r="IV19" s="190"/>
    </row>
    <row r="20" spans="1:256" ht="36.75" customHeight="1">
      <c r="A20" s="247" t="s">
        <v>115</v>
      </c>
      <c r="B20" s="248" t="s">
        <v>378</v>
      </c>
      <c r="C20" s="249" t="s">
        <v>379</v>
      </c>
      <c r="D20" s="250">
        <f>'[2]02 TTr UBND'!Q51</f>
        <v>320264000</v>
      </c>
      <c r="E20" s="307" t="s">
        <v>394</v>
      </c>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241"/>
      <c r="BB20" s="241"/>
      <c r="BC20" s="241"/>
      <c r="BD20" s="241"/>
      <c r="BE20" s="241"/>
      <c r="BF20" s="241"/>
      <c r="BG20" s="241"/>
      <c r="BH20" s="241"/>
      <c r="BI20" s="241"/>
      <c r="BJ20" s="241"/>
      <c r="BK20" s="241"/>
      <c r="BL20" s="241"/>
      <c r="BM20" s="241"/>
      <c r="BN20" s="241"/>
      <c r="BO20" s="241"/>
      <c r="BP20" s="241"/>
      <c r="BQ20" s="241"/>
      <c r="BR20" s="241"/>
      <c r="BS20" s="241"/>
      <c r="BT20" s="241"/>
      <c r="BU20" s="241"/>
      <c r="BV20" s="241"/>
      <c r="BW20" s="241"/>
      <c r="BX20" s="241"/>
      <c r="BY20" s="241"/>
      <c r="BZ20" s="241"/>
      <c r="CA20" s="241"/>
      <c r="CB20" s="241"/>
      <c r="CC20" s="241"/>
      <c r="CD20" s="241"/>
      <c r="CE20" s="241"/>
      <c r="CF20" s="241"/>
      <c r="CG20" s="241"/>
      <c r="CH20" s="241"/>
      <c r="CI20" s="241"/>
      <c r="CJ20" s="241"/>
      <c r="CK20" s="241"/>
      <c r="CL20" s="241"/>
      <c r="CM20" s="241"/>
      <c r="CN20" s="241"/>
      <c r="CO20" s="241"/>
      <c r="CP20" s="241"/>
      <c r="CQ20" s="241"/>
      <c r="CR20" s="241"/>
      <c r="CS20" s="241"/>
      <c r="CT20" s="241"/>
      <c r="CU20" s="241"/>
      <c r="CV20" s="241"/>
      <c r="CW20" s="241"/>
      <c r="CX20" s="241"/>
      <c r="CY20" s="241"/>
      <c r="CZ20" s="241"/>
      <c r="DA20" s="241"/>
      <c r="DB20" s="241"/>
      <c r="DC20" s="241"/>
      <c r="DD20" s="241"/>
      <c r="DE20" s="241"/>
      <c r="DF20" s="241"/>
      <c r="DG20" s="241"/>
      <c r="DH20" s="241"/>
      <c r="DI20" s="241"/>
      <c r="DJ20" s="241"/>
      <c r="DK20" s="241"/>
      <c r="DL20" s="241"/>
      <c r="DM20" s="241"/>
      <c r="DN20" s="241"/>
      <c r="DO20" s="241"/>
      <c r="DP20" s="241"/>
      <c r="DQ20" s="241"/>
      <c r="DR20" s="241"/>
      <c r="DS20" s="241"/>
      <c r="DT20" s="241"/>
      <c r="DU20" s="241"/>
      <c r="DV20" s="241"/>
      <c r="DW20" s="241"/>
      <c r="DX20" s="241"/>
      <c r="DY20" s="241"/>
      <c r="DZ20" s="241"/>
      <c r="EA20" s="241"/>
      <c r="EB20" s="241"/>
      <c r="EC20" s="241"/>
      <c r="ED20" s="241"/>
      <c r="EE20" s="241"/>
      <c r="EF20" s="241"/>
      <c r="EG20" s="241"/>
      <c r="EH20" s="241"/>
      <c r="EI20" s="241"/>
      <c r="EJ20" s="241"/>
      <c r="EK20" s="241"/>
      <c r="EL20" s="241"/>
      <c r="EM20" s="241"/>
      <c r="EN20" s="241"/>
      <c r="EO20" s="241"/>
      <c r="EP20" s="241"/>
      <c r="EQ20" s="241"/>
      <c r="ER20" s="241"/>
      <c r="ES20" s="241"/>
      <c r="ET20" s="241"/>
      <c r="EU20" s="241"/>
      <c r="EV20" s="241"/>
      <c r="EW20" s="241"/>
      <c r="EX20" s="241"/>
      <c r="EY20" s="241"/>
      <c r="EZ20" s="241"/>
      <c r="FA20" s="241"/>
      <c r="FB20" s="241"/>
      <c r="FC20" s="241"/>
      <c r="FD20" s="241"/>
      <c r="FE20" s="241"/>
      <c r="FF20" s="241"/>
      <c r="FG20" s="241"/>
      <c r="FH20" s="241"/>
      <c r="FI20" s="241"/>
      <c r="FJ20" s="241"/>
      <c r="FK20" s="241"/>
      <c r="FL20" s="241"/>
      <c r="FM20" s="241"/>
      <c r="FN20" s="241"/>
      <c r="FO20" s="241"/>
      <c r="FP20" s="241"/>
      <c r="FQ20" s="241"/>
      <c r="FR20" s="241"/>
      <c r="FS20" s="241"/>
      <c r="FT20" s="241"/>
      <c r="FU20" s="241"/>
      <c r="FV20" s="241"/>
      <c r="FW20" s="241"/>
      <c r="FX20" s="241"/>
      <c r="FY20" s="241"/>
      <c r="FZ20" s="241"/>
      <c r="GA20" s="241"/>
      <c r="GB20" s="241"/>
      <c r="GC20" s="241"/>
      <c r="GD20" s="241"/>
      <c r="GE20" s="241"/>
      <c r="GF20" s="241"/>
      <c r="GG20" s="241"/>
      <c r="GH20" s="241"/>
      <c r="GI20" s="241"/>
      <c r="GJ20" s="241"/>
      <c r="GK20" s="241"/>
      <c r="GL20" s="241"/>
      <c r="GM20" s="241"/>
      <c r="GN20" s="241"/>
      <c r="GO20" s="241"/>
      <c r="GP20" s="241"/>
      <c r="GQ20" s="241"/>
      <c r="GR20" s="241"/>
      <c r="GS20" s="241"/>
      <c r="GT20" s="241"/>
      <c r="GU20" s="241"/>
      <c r="GV20" s="241"/>
      <c r="GW20" s="241"/>
      <c r="GX20" s="241"/>
      <c r="GY20" s="241"/>
      <c r="GZ20" s="241"/>
      <c r="HA20" s="241"/>
      <c r="HB20" s="241"/>
      <c r="HC20" s="241"/>
      <c r="HD20" s="241"/>
      <c r="HE20" s="241"/>
      <c r="HF20" s="241"/>
      <c r="HG20" s="241"/>
      <c r="HH20" s="241"/>
      <c r="HI20" s="241"/>
      <c r="HJ20" s="241"/>
      <c r="HK20" s="241"/>
      <c r="HL20" s="241"/>
      <c r="HM20" s="241"/>
      <c r="HN20" s="241"/>
      <c r="HO20" s="241"/>
      <c r="HP20" s="241"/>
      <c r="HQ20" s="241"/>
      <c r="HR20" s="241"/>
      <c r="HS20" s="241"/>
      <c r="HT20" s="241"/>
      <c r="HU20" s="241"/>
      <c r="HV20" s="241"/>
      <c r="HW20" s="241"/>
      <c r="HX20" s="241"/>
      <c r="HY20" s="241"/>
      <c r="HZ20" s="241"/>
      <c r="IA20" s="241"/>
      <c r="IB20" s="241"/>
      <c r="IC20" s="241"/>
      <c r="ID20" s="241"/>
      <c r="IE20" s="241"/>
      <c r="IF20" s="241"/>
      <c r="IG20" s="241"/>
      <c r="IH20" s="241"/>
      <c r="II20" s="241"/>
      <c r="IJ20" s="241"/>
      <c r="IK20" s="241"/>
      <c r="IL20" s="241"/>
      <c r="IM20" s="241"/>
      <c r="IN20" s="241"/>
      <c r="IO20" s="241"/>
      <c r="IP20" s="241"/>
      <c r="IQ20" s="241"/>
      <c r="IR20" s="241"/>
      <c r="IS20" s="241"/>
      <c r="IT20" s="241"/>
      <c r="IU20" s="241"/>
      <c r="IV20" s="241"/>
    </row>
    <row r="21" spans="1:256" ht="36.75" customHeight="1">
      <c r="A21" s="247" t="s">
        <v>124</v>
      </c>
      <c r="B21" s="248" t="s">
        <v>305</v>
      </c>
      <c r="C21" s="249" t="s">
        <v>307</v>
      </c>
      <c r="D21" s="250">
        <f>'[2]02 TTr UBND'!Q57</f>
        <v>437561000</v>
      </c>
      <c r="E21" s="308"/>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1"/>
      <c r="AY21" s="241"/>
      <c r="AZ21" s="241"/>
      <c r="BA21" s="241"/>
      <c r="BB21" s="241"/>
      <c r="BC21" s="241"/>
      <c r="BD21" s="241"/>
      <c r="BE21" s="241"/>
      <c r="BF21" s="241"/>
      <c r="BG21" s="241"/>
      <c r="BH21" s="241"/>
      <c r="BI21" s="241"/>
      <c r="BJ21" s="241"/>
      <c r="BK21" s="241"/>
      <c r="BL21" s="241"/>
      <c r="BM21" s="241"/>
      <c r="BN21" s="241"/>
      <c r="BO21" s="241"/>
      <c r="BP21" s="241"/>
      <c r="BQ21" s="241"/>
      <c r="BR21" s="241"/>
      <c r="BS21" s="241"/>
      <c r="BT21" s="241"/>
      <c r="BU21" s="241"/>
      <c r="BV21" s="241"/>
      <c r="BW21" s="241"/>
      <c r="BX21" s="241"/>
      <c r="BY21" s="241"/>
      <c r="BZ21" s="241"/>
      <c r="CA21" s="241"/>
      <c r="CB21" s="241"/>
      <c r="CC21" s="241"/>
      <c r="CD21" s="241"/>
      <c r="CE21" s="241"/>
      <c r="CF21" s="241"/>
      <c r="CG21" s="241"/>
      <c r="CH21" s="241"/>
      <c r="CI21" s="241"/>
      <c r="CJ21" s="241"/>
      <c r="CK21" s="241"/>
      <c r="CL21" s="241"/>
      <c r="CM21" s="241"/>
      <c r="CN21" s="241"/>
      <c r="CO21" s="241"/>
      <c r="CP21" s="241"/>
      <c r="CQ21" s="241"/>
      <c r="CR21" s="241"/>
      <c r="CS21" s="241"/>
      <c r="CT21" s="241"/>
      <c r="CU21" s="241"/>
      <c r="CV21" s="241"/>
      <c r="CW21" s="241"/>
      <c r="CX21" s="241"/>
      <c r="CY21" s="241"/>
      <c r="CZ21" s="241"/>
      <c r="DA21" s="241"/>
      <c r="DB21" s="241"/>
      <c r="DC21" s="241"/>
      <c r="DD21" s="241"/>
      <c r="DE21" s="241"/>
      <c r="DF21" s="241"/>
      <c r="DG21" s="241"/>
      <c r="DH21" s="241"/>
      <c r="DI21" s="241"/>
      <c r="DJ21" s="241"/>
      <c r="DK21" s="241"/>
      <c r="DL21" s="241"/>
      <c r="DM21" s="241"/>
      <c r="DN21" s="241"/>
      <c r="DO21" s="241"/>
      <c r="DP21" s="241"/>
      <c r="DQ21" s="241"/>
      <c r="DR21" s="241"/>
      <c r="DS21" s="241"/>
      <c r="DT21" s="241"/>
      <c r="DU21" s="241"/>
      <c r="DV21" s="241"/>
      <c r="DW21" s="241"/>
      <c r="DX21" s="241"/>
      <c r="DY21" s="241"/>
      <c r="DZ21" s="241"/>
      <c r="EA21" s="241"/>
      <c r="EB21" s="241"/>
      <c r="EC21" s="241"/>
      <c r="ED21" s="241"/>
      <c r="EE21" s="241"/>
      <c r="EF21" s="241"/>
      <c r="EG21" s="241"/>
      <c r="EH21" s="241"/>
      <c r="EI21" s="241"/>
      <c r="EJ21" s="241"/>
      <c r="EK21" s="241"/>
      <c r="EL21" s="241"/>
      <c r="EM21" s="241"/>
      <c r="EN21" s="241"/>
      <c r="EO21" s="241"/>
      <c r="EP21" s="241"/>
      <c r="EQ21" s="241"/>
      <c r="ER21" s="241"/>
      <c r="ES21" s="241"/>
      <c r="ET21" s="241"/>
      <c r="EU21" s="241"/>
      <c r="EV21" s="241"/>
      <c r="EW21" s="241"/>
      <c r="EX21" s="241"/>
      <c r="EY21" s="241"/>
      <c r="EZ21" s="241"/>
      <c r="FA21" s="241"/>
      <c r="FB21" s="241"/>
      <c r="FC21" s="241"/>
      <c r="FD21" s="241"/>
      <c r="FE21" s="241"/>
      <c r="FF21" s="241"/>
      <c r="FG21" s="241"/>
      <c r="FH21" s="241"/>
      <c r="FI21" s="241"/>
      <c r="FJ21" s="241"/>
      <c r="FK21" s="241"/>
      <c r="FL21" s="241"/>
      <c r="FM21" s="241"/>
      <c r="FN21" s="241"/>
      <c r="FO21" s="241"/>
      <c r="FP21" s="241"/>
      <c r="FQ21" s="241"/>
      <c r="FR21" s="241"/>
      <c r="FS21" s="241"/>
      <c r="FT21" s="241"/>
      <c r="FU21" s="241"/>
      <c r="FV21" s="241"/>
      <c r="FW21" s="241"/>
      <c r="FX21" s="241"/>
      <c r="FY21" s="241"/>
      <c r="FZ21" s="241"/>
      <c r="GA21" s="241"/>
      <c r="GB21" s="241"/>
      <c r="GC21" s="241"/>
      <c r="GD21" s="241"/>
      <c r="GE21" s="241"/>
      <c r="GF21" s="241"/>
      <c r="GG21" s="241"/>
      <c r="GH21" s="241"/>
      <c r="GI21" s="241"/>
      <c r="GJ21" s="241"/>
      <c r="GK21" s="241"/>
      <c r="GL21" s="241"/>
      <c r="GM21" s="241"/>
      <c r="GN21" s="241"/>
      <c r="GO21" s="241"/>
      <c r="GP21" s="241"/>
      <c r="GQ21" s="241"/>
      <c r="GR21" s="241"/>
      <c r="GS21" s="241"/>
      <c r="GT21" s="241"/>
      <c r="GU21" s="241"/>
      <c r="GV21" s="241"/>
      <c r="GW21" s="241"/>
      <c r="GX21" s="241"/>
      <c r="GY21" s="241"/>
      <c r="GZ21" s="241"/>
      <c r="HA21" s="241"/>
      <c r="HB21" s="241"/>
      <c r="HC21" s="241"/>
      <c r="HD21" s="241"/>
      <c r="HE21" s="241"/>
      <c r="HF21" s="241"/>
      <c r="HG21" s="241"/>
      <c r="HH21" s="241"/>
      <c r="HI21" s="241"/>
      <c r="HJ21" s="241"/>
      <c r="HK21" s="241"/>
      <c r="HL21" s="241"/>
      <c r="HM21" s="241"/>
      <c r="HN21" s="241"/>
      <c r="HO21" s="241"/>
      <c r="HP21" s="241"/>
      <c r="HQ21" s="241"/>
      <c r="HR21" s="241"/>
      <c r="HS21" s="241"/>
      <c r="HT21" s="241"/>
      <c r="HU21" s="241"/>
      <c r="HV21" s="241"/>
      <c r="HW21" s="241"/>
      <c r="HX21" s="241"/>
      <c r="HY21" s="241"/>
      <c r="HZ21" s="241"/>
      <c r="IA21" s="241"/>
      <c r="IB21" s="241"/>
      <c r="IC21" s="241"/>
      <c r="ID21" s="241"/>
      <c r="IE21" s="241"/>
      <c r="IF21" s="241"/>
      <c r="IG21" s="241"/>
      <c r="IH21" s="241"/>
      <c r="II21" s="241"/>
      <c r="IJ21" s="241"/>
      <c r="IK21" s="241"/>
      <c r="IL21" s="241"/>
      <c r="IM21" s="241"/>
      <c r="IN21" s="241"/>
      <c r="IO21" s="241"/>
      <c r="IP21" s="241"/>
      <c r="IQ21" s="241"/>
      <c r="IR21" s="241"/>
      <c r="IS21" s="241"/>
      <c r="IT21" s="241"/>
      <c r="IU21" s="241"/>
      <c r="IV21" s="241"/>
    </row>
    <row r="22" spans="1:256" ht="24.75" customHeight="1">
      <c r="A22" s="247" t="s">
        <v>127</v>
      </c>
      <c r="B22" s="248" t="s">
        <v>311</v>
      </c>
      <c r="C22" s="249" t="s">
        <v>313</v>
      </c>
      <c r="D22" s="250">
        <f>'[2]02 TTr UBND'!Q63</f>
        <v>306630000</v>
      </c>
      <c r="E22" s="248"/>
      <c r="F22" s="241"/>
      <c r="G22" s="241"/>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1"/>
      <c r="AY22" s="241"/>
      <c r="AZ22" s="241"/>
      <c r="BA22" s="241"/>
      <c r="BB22" s="241"/>
      <c r="BC22" s="241"/>
      <c r="BD22" s="241"/>
      <c r="BE22" s="241"/>
      <c r="BF22" s="241"/>
      <c r="BG22" s="241"/>
      <c r="BH22" s="241"/>
      <c r="BI22" s="241"/>
      <c r="BJ22" s="241"/>
      <c r="BK22" s="241"/>
      <c r="BL22" s="241"/>
      <c r="BM22" s="241"/>
      <c r="BN22" s="241"/>
      <c r="BO22" s="241"/>
      <c r="BP22" s="241"/>
      <c r="BQ22" s="241"/>
      <c r="BR22" s="241"/>
      <c r="BS22" s="241"/>
      <c r="BT22" s="241"/>
      <c r="BU22" s="241"/>
      <c r="BV22" s="241"/>
      <c r="BW22" s="241"/>
      <c r="BX22" s="241"/>
      <c r="BY22" s="241"/>
      <c r="BZ22" s="241"/>
      <c r="CA22" s="241"/>
      <c r="CB22" s="241"/>
      <c r="CC22" s="241"/>
      <c r="CD22" s="241"/>
      <c r="CE22" s="241"/>
      <c r="CF22" s="241"/>
      <c r="CG22" s="241"/>
      <c r="CH22" s="241"/>
      <c r="CI22" s="241"/>
      <c r="CJ22" s="241"/>
      <c r="CK22" s="241"/>
      <c r="CL22" s="241"/>
      <c r="CM22" s="241"/>
      <c r="CN22" s="241"/>
      <c r="CO22" s="241"/>
      <c r="CP22" s="241"/>
      <c r="CQ22" s="241"/>
      <c r="CR22" s="241"/>
      <c r="CS22" s="241"/>
      <c r="CT22" s="241"/>
      <c r="CU22" s="241"/>
      <c r="CV22" s="241"/>
      <c r="CW22" s="241"/>
      <c r="CX22" s="241"/>
      <c r="CY22" s="241"/>
      <c r="CZ22" s="241"/>
      <c r="DA22" s="241"/>
      <c r="DB22" s="241"/>
      <c r="DC22" s="241"/>
      <c r="DD22" s="241"/>
      <c r="DE22" s="241"/>
      <c r="DF22" s="241"/>
      <c r="DG22" s="241"/>
      <c r="DH22" s="241"/>
      <c r="DI22" s="241"/>
      <c r="DJ22" s="241"/>
      <c r="DK22" s="241"/>
      <c r="DL22" s="241"/>
      <c r="DM22" s="241"/>
      <c r="DN22" s="241"/>
      <c r="DO22" s="241"/>
      <c r="DP22" s="241"/>
      <c r="DQ22" s="241"/>
      <c r="DR22" s="241"/>
      <c r="DS22" s="241"/>
      <c r="DT22" s="241"/>
      <c r="DU22" s="241"/>
      <c r="DV22" s="241"/>
      <c r="DW22" s="241"/>
      <c r="DX22" s="241"/>
      <c r="DY22" s="241"/>
      <c r="DZ22" s="241"/>
      <c r="EA22" s="241"/>
      <c r="EB22" s="241"/>
      <c r="EC22" s="241"/>
      <c r="ED22" s="241"/>
      <c r="EE22" s="241"/>
      <c r="EF22" s="241"/>
      <c r="EG22" s="241"/>
      <c r="EH22" s="241"/>
      <c r="EI22" s="241"/>
      <c r="EJ22" s="241"/>
      <c r="EK22" s="241"/>
      <c r="EL22" s="241"/>
      <c r="EM22" s="241"/>
      <c r="EN22" s="241"/>
      <c r="EO22" s="241"/>
      <c r="EP22" s="241"/>
      <c r="EQ22" s="241"/>
      <c r="ER22" s="241"/>
      <c r="ES22" s="241"/>
      <c r="ET22" s="241"/>
      <c r="EU22" s="241"/>
      <c r="EV22" s="241"/>
      <c r="EW22" s="241"/>
      <c r="EX22" s="241"/>
      <c r="EY22" s="241"/>
      <c r="EZ22" s="241"/>
      <c r="FA22" s="241"/>
      <c r="FB22" s="241"/>
      <c r="FC22" s="241"/>
      <c r="FD22" s="241"/>
      <c r="FE22" s="241"/>
      <c r="FF22" s="241"/>
      <c r="FG22" s="241"/>
      <c r="FH22" s="241"/>
      <c r="FI22" s="241"/>
      <c r="FJ22" s="241"/>
      <c r="FK22" s="241"/>
      <c r="FL22" s="241"/>
      <c r="FM22" s="241"/>
      <c r="FN22" s="241"/>
      <c r="FO22" s="241"/>
      <c r="FP22" s="241"/>
      <c r="FQ22" s="241"/>
      <c r="FR22" s="241"/>
      <c r="FS22" s="241"/>
      <c r="FT22" s="241"/>
      <c r="FU22" s="241"/>
      <c r="FV22" s="241"/>
      <c r="FW22" s="241"/>
      <c r="FX22" s="241"/>
      <c r="FY22" s="241"/>
      <c r="FZ22" s="241"/>
      <c r="GA22" s="241"/>
      <c r="GB22" s="241"/>
      <c r="GC22" s="241"/>
      <c r="GD22" s="241"/>
      <c r="GE22" s="241"/>
      <c r="GF22" s="241"/>
      <c r="GG22" s="241"/>
      <c r="GH22" s="241"/>
      <c r="GI22" s="241"/>
      <c r="GJ22" s="241"/>
      <c r="GK22" s="241"/>
      <c r="GL22" s="241"/>
      <c r="GM22" s="241"/>
      <c r="GN22" s="241"/>
      <c r="GO22" s="241"/>
      <c r="GP22" s="241"/>
      <c r="GQ22" s="241"/>
      <c r="GR22" s="241"/>
      <c r="GS22" s="241"/>
      <c r="GT22" s="241"/>
      <c r="GU22" s="241"/>
      <c r="GV22" s="241"/>
      <c r="GW22" s="241"/>
      <c r="GX22" s="241"/>
      <c r="GY22" s="241"/>
      <c r="GZ22" s="241"/>
      <c r="HA22" s="241"/>
      <c r="HB22" s="241"/>
      <c r="HC22" s="241"/>
      <c r="HD22" s="241"/>
      <c r="HE22" s="241"/>
      <c r="HF22" s="241"/>
      <c r="HG22" s="241"/>
      <c r="HH22" s="241"/>
      <c r="HI22" s="241"/>
      <c r="HJ22" s="241"/>
      <c r="HK22" s="241"/>
      <c r="HL22" s="241"/>
      <c r="HM22" s="241"/>
      <c r="HN22" s="241"/>
      <c r="HO22" s="241"/>
      <c r="HP22" s="241"/>
      <c r="HQ22" s="241"/>
      <c r="HR22" s="241"/>
      <c r="HS22" s="241"/>
      <c r="HT22" s="241"/>
      <c r="HU22" s="241"/>
      <c r="HV22" s="241"/>
      <c r="HW22" s="241"/>
      <c r="HX22" s="241"/>
      <c r="HY22" s="241"/>
      <c r="HZ22" s="241"/>
      <c r="IA22" s="241"/>
      <c r="IB22" s="241"/>
      <c r="IC22" s="241"/>
      <c r="ID22" s="241"/>
      <c r="IE22" s="241"/>
      <c r="IF22" s="241"/>
      <c r="IG22" s="241"/>
      <c r="IH22" s="241"/>
      <c r="II22" s="241"/>
      <c r="IJ22" s="241"/>
      <c r="IK22" s="241"/>
      <c r="IL22" s="241"/>
      <c r="IM22" s="241"/>
      <c r="IN22" s="241"/>
      <c r="IO22" s="241"/>
      <c r="IP22" s="241"/>
      <c r="IQ22" s="241"/>
      <c r="IR22" s="241"/>
      <c r="IS22" s="241"/>
      <c r="IT22" s="241"/>
      <c r="IU22" s="241"/>
      <c r="IV22" s="241"/>
    </row>
    <row r="23" spans="1:256" ht="24.75" customHeight="1">
      <c r="A23" s="185">
        <v>5</v>
      </c>
      <c r="B23" s="309" t="s">
        <v>380</v>
      </c>
      <c r="C23" s="309"/>
      <c r="D23" s="236">
        <f>SUM(D24:D26)</f>
        <v>636134000</v>
      </c>
      <c r="E23" s="248"/>
    </row>
    <row r="24" spans="1:256" ht="35.25" customHeight="1">
      <c r="A24" s="237" t="s">
        <v>319</v>
      </c>
      <c r="B24" s="238" t="s">
        <v>381</v>
      </c>
      <c r="C24" s="239" t="s">
        <v>382</v>
      </c>
      <c r="D24" s="240">
        <f>'[2]02 TTr UBND'!Q69</f>
        <v>213708000</v>
      </c>
      <c r="E24" s="307" t="s">
        <v>394</v>
      </c>
      <c r="F24" s="200"/>
      <c r="G24" s="200"/>
      <c r="H24" s="200"/>
      <c r="I24" s="200"/>
      <c r="J24" s="200"/>
      <c r="K24" s="200"/>
      <c r="L24" s="200"/>
      <c r="M24" s="200"/>
      <c r="N24" s="200"/>
      <c r="O24" s="200"/>
      <c r="P24" s="200"/>
      <c r="Q24" s="200"/>
      <c r="R24" s="200"/>
      <c r="S24" s="200"/>
      <c r="T24" s="200"/>
      <c r="U24" s="200"/>
      <c r="V24" s="200"/>
      <c r="W24" s="200"/>
      <c r="X24" s="200"/>
      <c r="Y24" s="200"/>
      <c r="Z24" s="200"/>
      <c r="AA24" s="200"/>
      <c r="AB24" s="200"/>
      <c r="AC24" s="200"/>
      <c r="AD24" s="200"/>
      <c r="AE24" s="200"/>
      <c r="AF24" s="200"/>
      <c r="AG24" s="200"/>
      <c r="AH24" s="200"/>
      <c r="AI24" s="200"/>
      <c r="AJ24" s="200"/>
      <c r="AK24" s="200"/>
      <c r="AL24" s="200"/>
      <c r="AM24" s="200"/>
      <c r="AN24" s="200"/>
      <c r="AO24" s="200"/>
      <c r="AP24" s="200"/>
      <c r="AQ24" s="200"/>
      <c r="AR24" s="200"/>
      <c r="AS24" s="200"/>
      <c r="AT24" s="200"/>
      <c r="AU24" s="200"/>
      <c r="AV24" s="200"/>
      <c r="AW24" s="200"/>
      <c r="AX24" s="200"/>
      <c r="AY24" s="200"/>
      <c r="AZ24" s="200"/>
      <c r="BA24" s="200"/>
      <c r="BB24" s="200"/>
      <c r="BC24" s="200"/>
      <c r="BD24" s="200"/>
      <c r="BE24" s="200"/>
      <c r="BF24" s="200"/>
      <c r="BG24" s="200"/>
      <c r="BH24" s="200"/>
      <c r="BI24" s="200"/>
      <c r="BJ24" s="200"/>
      <c r="BK24" s="200"/>
      <c r="BL24" s="200"/>
      <c r="BM24" s="200"/>
      <c r="BN24" s="200"/>
      <c r="BO24" s="200"/>
      <c r="BP24" s="200"/>
      <c r="BQ24" s="200"/>
      <c r="BR24" s="200"/>
      <c r="BS24" s="200"/>
      <c r="BT24" s="200"/>
      <c r="BU24" s="200"/>
      <c r="BV24" s="200"/>
      <c r="BW24" s="200"/>
      <c r="BX24" s="200"/>
      <c r="BY24" s="200"/>
      <c r="BZ24" s="200"/>
      <c r="CA24" s="200"/>
      <c r="CB24" s="200"/>
      <c r="CC24" s="200"/>
      <c r="CD24" s="200"/>
      <c r="CE24" s="200"/>
      <c r="CF24" s="200"/>
      <c r="CG24" s="200"/>
      <c r="CH24" s="200"/>
      <c r="CI24" s="200"/>
      <c r="CJ24" s="200"/>
      <c r="CK24" s="200"/>
      <c r="CL24" s="200"/>
      <c r="CM24" s="200"/>
      <c r="CN24" s="200"/>
      <c r="CO24" s="200"/>
      <c r="CP24" s="200"/>
      <c r="CQ24" s="200"/>
      <c r="CR24" s="200"/>
      <c r="CS24" s="200"/>
      <c r="CT24" s="200"/>
      <c r="CU24" s="200"/>
      <c r="CV24" s="200"/>
      <c r="CW24" s="200"/>
      <c r="CX24" s="200"/>
      <c r="CY24" s="200"/>
      <c r="CZ24" s="200"/>
      <c r="DA24" s="200"/>
      <c r="DB24" s="200"/>
      <c r="DC24" s="200"/>
      <c r="DD24" s="200"/>
      <c r="DE24" s="200"/>
      <c r="DF24" s="200"/>
      <c r="DG24" s="200"/>
      <c r="DH24" s="200"/>
      <c r="DI24" s="200"/>
      <c r="DJ24" s="200"/>
      <c r="DK24" s="200"/>
      <c r="DL24" s="200"/>
      <c r="DM24" s="200"/>
      <c r="DN24" s="200"/>
      <c r="DO24" s="200"/>
      <c r="DP24" s="200"/>
      <c r="DQ24" s="200"/>
      <c r="DR24" s="200"/>
      <c r="DS24" s="200"/>
      <c r="DT24" s="200"/>
      <c r="DU24" s="200"/>
      <c r="DV24" s="200"/>
      <c r="DW24" s="200"/>
      <c r="DX24" s="200"/>
      <c r="DY24" s="200"/>
      <c r="DZ24" s="200"/>
      <c r="EA24" s="200"/>
      <c r="EB24" s="200"/>
      <c r="EC24" s="200"/>
      <c r="ED24" s="200"/>
      <c r="EE24" s="200"/>
      <c r="EF24" s="200"/>
      <c r="EG24" s="200"/>
      <c r="EH24" s="200"/>
      <c r="EI24" s="200"/>
      <c r="EJ24" s="200"/>
      <c r="EK24" s="200"/>
      <c r="EL24" s="200"/>
      <c r="EM24" s="200"/>
      <c r="EN24" s="200"/>
      <c r="EO24" s="200"/>
      <c r="EP24" s="200"/>
      <c r="EQ24" s="200"/>
      <c r="ER24" s="200"/>
      <c r="ES24" s="200"/>
      <c r="ET24" s="200"/>
      <c r="EU24" s="200"/>
      <c r="EV24" s="200"/>
      <c r="EW24" s="200"/>
      <c r="EX24" s="200"/>
      <c r="EY24" s="200"/>
      <c r="EZ24" s="200"/>
      <c r="FA24" s="200"/>
      <c r="FB24" s="200"/>
      <c r="FC24" s="200"/>
      <c r="FD24" s="200"/>
      <c r="FE24" s="200"/>
      <c r="FF24" s="200"/>
      <c r="FG24" s="200"/>
      <c r="FH24" s="200"/>
      <c r="FI24" s="200"/>
      <c r="FJ24" s="200"/>
      <c r="FK24" s="200"/>
      <c r="FL24" s="200"/>
      <c r="FM24" s="200"/>
      <c r="FN24" s="200"/>
      <c r="FO24" s="200"/>
      <c r="FP24" s="200"/>
      <c r="FQ24" s="200"/>
      <c r="FR24" s="200"/>
      <c r="FS24" s="200"/>
      <c r="FT24" s="200"/>
      <c r="FU24" s="200"/>
      <c r="FV24" s="200"/>
      <c r="FW24" s="200"/>
      <c r="FX24" s="200"/>
      <c r="FY24" s="200"/>
      <c r="FZ24" s="200"/>
      <c r="GA24" s="200"/>
      <c r="GB24" s="200"/>
      <c r="GC24" s="200"/>
      <c r="GD24" s="200"/>
      <c r="GE24" s="200"/>
      <c r="GF24" s="200"/>
      <c r="GG24" s="200"/>
      <c r="GH24" s="200"/>
      <c r="GI24" s="200"/>
      <c r="GJ24" s="200"/>
      <c r="GK24" s="200"/>
      <c r="GL24" s="200"/>
      <c r="GM24" s="200"/>
      <c r="GN24" s="200"/>
      <c r="GO24" s="200"/>
      <c r="GP24" s="200"/>
      <c r="GQ24" s="200"/>
      <c r="GR24" s="200"/>
      <c r="GS24" s="200"/>
      <c r="GT24" s="200"/>
      <c r="GU24" s="200"/>
      <c r="GV24" s="200"/>
      <c r="GW24" s="200"/>
      <c r="GX24" s="200"/>
      <c r="GY24" s="200"/>
      <c r="GZ24" s="200"/>
      <c r="HA24" s="200"/>
      <c r="HB24" s="200"/>
      <c r="HC24" s="200"/>
      <c r="HD24" s="200"/>
      <c r="HE24" s="200"/>
      <c r="HF24" s="200"/>
      <c r="HG24" s="200"/>
      <c r="HH24" s="200"/>
      <c r="HI24" s="200"/>
      <c r="HJ24" s="200"/>
      <c r="HK24" s="200"/>
      <c r="HL24" s="200"/>
      <c r="HM24" s="200"/>
      <c r="HN24" s="200"/>
      <c r="HO24" s="200"/>
      <c r="HP24" s="200"/>
      <c r="HQ24" s="200"/>
      <c r="HR24" s="200"/>
      <c r="HS24" s="200"/>
      <c r="HT24" s="200"/>
      <c r="HU24" s="200"/>
      <c r="HV24" s="200"/>
      <c r="HW24" s="200"/>
      <c r="HX24" s="200"/>
      <c r="HY24" s="200"/>
      <c r="HZ24" s="200"/>
      <c r="IA24" s="200"/>
      <c r="IB24" s="200"/>
      <c r="IC24" s="200"/>
      <c r="ID24" s="200"/>
      <c r="IE24" s="200"/>
      <c r="IF24" s="200"/>
      <c r="IG24" s="200"/>
      <c r="IH24" s="200"/>
      <c r="II24" s="200"/>
      <c r="IJ24" s="200"/>
      <c r="IK24" s="200"/>
      <c r="IL24" s="200"/>
      <c r="IM24" s="200"/>
      <c r="IN24" s="200"/>
      <c r="IO24" s="200"/>
      <c r="IP24" s="200"/>
      <c r="IQ24" s="200"/>
      <c r="IR24" s="200"/>
      <c r="IS24" s="200"/>
      <c r="IT24" s="200"/>
      <c r="IU24" s="200"/>
      <c r="IV24" s="200"/>
    </row>
    <row r="25" spans="1:256" ht="35.25" customHeight="1">
      <c r="A25" s="251" t="s">
        <v>325</v>
      </c>
      <c r="B25" s="252" t="s">
        <v>326</v>
      </c>
      <c r="C25" s="253" t="s">
        <v>383</v>
      </c>
      <c r="D25" s="254">
        <f>'[2]02 TTr UBND'!Q73</f>
        <v>325111000</v>
      </c>
      <c r="E25" s="314"/>
      <c r="F25" s="241"/>
      <c r="G25" s="241"/>
      <c r="H25" s="241"/>
      <c r="I25" s="241"/>
      <c r="J25" s="241"/>
      <c r="K25" s="241"/>
      <c r="L25" s="241"/>
      <c r="M25" s="241"/>
      <c r="N25" s="241"/>
      <c r="O25" s="241"/>
      <c r="P25" s="241"/>
      <c r="Q25" s="241"/>
      <c r="R25" s="241"/>
      <c r="S25" s="241"/>
      <c r="T25" s="241"/>
      <c r="U25" s="241"/>
      <c r="V25" s="241"/>
      <c r="W25" s="241"/>
      <c r="X25" s="241"/>
      <c r="Y25" s="241"/>
      <c r="Z25" s="241"/>
      <c r="AA25" s="241"/>
      <c r="AB25" s="241"/>
      <c r="AC25" s="241"/>
      <c r="AD25" s="241"/>
      <c r="AE25" s="241"/>
      <c r="AF25" s="241"/>
      <c r="AG25" s="241"/>
      <c r="AH25" s="241"/>
      <c r="AI25" s="241"/>
      <c r="AJ25" s="241"/>
      <c r="AK25" s="241"/>
      <c r="AL25" s="241"/>
      <c r="AM25" s="241"/>
      <c r="AN25" s="241"/>
      <c r="AO25" s="241"/>
      <c r="AP25" s="241"/>
      <c r="AQ25" s="241"/>
      <c r="AR25" s="241"/>
      <c r="AS25" s="241"/>
      <c r="AT25" s="241"/>
      <c r="AU25" s="241"/>
      <c r="AV25" s="241"/>
      <c r="AW25" s="241"/>
      <c r="AX25" s="241"/>
      <c r="AY25" s="241"/>
      <c r="AZ25" s="241"/>
      <c r="BA25" s="241"/>
      <c r="BB25" s="241"/>
      <c r="BC25" s="241"/>
      <c r="BD25" s="241"/>
      <c r="BE25" s="241"/>
      <c r="BF25" s="241"/>
      <c r="BG25" s="241"/>
      <c r="BH25" s="241"/>
      <c r="BI25" s="241"/>
      <c r="BJ25" s="241"/>
      <c r="BK25" s="241"/>
      <c r="BL25" s="241"/>
      <c r="BM25" s="241"/>
      <c r="BN25" s="241"/>
      <c r="BO25" s="241"/>
      <c r="BP25" s="241"/>
      <c r="BQ25" s="241"/>
      <c r="BR25" s="241"/>
      <c r="BS25" s="241"/>
      <c r="BT25" s="241"/>
      <c r="BU25" s="241"/>
      <c r="BV25" s="241"/>
      <c r="BW25" s="241"/>
      <c r="BX25" s="241"/>
      <c r="BY25" s="241"/>
      <c r="BZ25" s="241"/>
      <c r="CA25" s="241"/>
      <c r="CB25" s="241"/>
      <c r="CC25" s="241"/>
      <c r="CD25" s="241"/>
      <c r="CE25" s="241"/>
      <c r="CF25" s="241"/>
      <c r="CG25" s="241"/>
      <c r="CH25" s="241"/>
      <c r="CI25" s="241"/>
      <c r="CJ25" s="241"/>
      <c r="CK25" s="241"/>
      <c r="CL25" s="241"/>
      <c r="CM25" s="241"/>
      <c r="CN25" s="241"/>
      <c r="CO25" s="241"/>
      <c r="CP25" s="241"/>
      <c r="CQ25" s="241"/>
      <c r="CR25" s="241"/>
      <c r="CS25" s="241"/>
      <c r="CT25" s="241"/>
      <c r="CU25" s="241"/>
      <c r="CV25" s="241"/>
      <c r="CW25" s="241"/>
      <c r="CX25" s="241"/>
      <c r="CY25" s="241"/>
      <c r="CZ25" s="241"/>
      <c r="DA25" s="241"/>
      <c r="DB25" s="241"/>
      <c r="DC25" s="241"/>
      <c r="DD25" s="241"/>
      <c r="DE25" s="241"/>
      <c r="DF25" s="241"/>
      <c r="DG25" s="241"/>
      <c r="DH25" s="241"/>
      <c r="DI25" s="241"/>
      <c r="DJ25" s="241"/>
      <c r="DK25" s="241"/>
      <c r="DL25" s="241"/>
      <c r="DM25" s="241"/>
      <c r="DN25" s="241"/>
      <c r="DO25" s="241"/>
      <c r="DP25" s="241"/>
      <c r="DQ25" s="241"/>
      <c r="DR25" s="241"/>
      <c r="DS25" s="241"/>
      <c r="DT25" s="241"/>
      <c r="DU25" s="241"/>
      <c r="DV25" s="241"/>
      <c r="DW25" s="241"/>
      <c r="DX25" s="241"/>
      <c r="DY25" s="241"/>
      <c r="DZ25" s="241"/>
      <c r="EA25" s="241"/>
      <c r="EB25" s="241"/>
      <c r="EC25" s="241"/>
      <c r="ED25" s="241"/>
      <c r="EE25" s="241"/>
      <c r="EF25" s="241"/>
      <c r="EG25" s="241"/>
      <c r="EH25" s="241"/>
      <c r="EI25" s="241"/>
      <c r="EJ25" s="241"/>
      <c r="EK25" s="241"/>
      <c r="EL25" s="241"/>
      <c r="EM25" s="241"/>
      <c r="EN25" s="241"/>
      <c r="EO25" s="241"/>
      <c r="EP25" s="241"/>
      <c r="EQ25" s="241"/>
      <c r="ER25" s="241"/>
      <c r="ES25" s="241"/>
      <c r="ET25" s="241"/>
      <c r="EU25" s="241"/>
      <c r="EV25" s="241"/>
      <c r="EW25" s="241"/>
      <c r="EX25" s="241"/>
      <c r="EY25" s="241"/>
      <c r="EZ25" s="241"/>
      <c r="FA25" s="241"/>
      <c r="FB25" s="241"/>
      <c r="FC25" s="241"/>
      <c r="FD25" s="241"/>
      <c r="FE25" s="241"/>
      <c r="FF25" s="241"/>
      <c r="FG25" s="241"/>
      <c r="FH25" s="241"/>
      <c r="FI25" s="241"/>
      <c r="FJ25" s="241"/>
      <c r="FK25" s="241"/>
      <c r="FL25" s="241"/>
      <c r="FM25" s="241"/>
      <c r="FN25" s="241"/>
      <c r="FO25" s="241"/>
      <c r="FP25" s="241"/>
      <c r="FQ25" s="241"/>
      <c r="FR25" s="241"/>
      <c r="FS25" s="241"/>
      <c r="FT25" s="241"/>
      <c r="FU25" s="241"/>
      <c r="FV25" s="241"/>
      <c r="FW25" s="241"/>
      <c r="FX25" s="241"/>
      <c r="FY25" s="241"/>
      <c r="FZ25" s="241"/>
      <c r="GA25" s="241"/>
      <c r="GB25" s="241"/>
      <c r="GC25" s="241"/>
      <c r="GD25" s="241"/>
      <c r="GE25" s="241"/>
      <c r="GF25" s="241"/>
      <c r="GG25" s="241"/>
      <c r="GH25" s="241"/>
      <c r="GI25" s="241"/>
      <c r="GJ25" s="241"/>
      <c r="GK25" s="241"/>
      <c r="GL25" s="241"/>
      <c r="GM25" s="241"/>
      <c r="GN25" s="241"/>
      <c r="GO25" s="241"/>
      <c r="GP25" s="241"/>
      <c r="GQ25" s="241"/>
      <c r="GR25" s="241"/>
      <c r="GS25" s="241"/>
      <c r="GT25" s="241"/>
      <c r="GU25" s="241"/>
      <c r="GV25" s="241"/>
      <c r="GW25" s="241"/>
      <c r="GX25" s="241"/>
      <c r="GY25" s="241"/>
      <c r="GZ25" s="241"/>
      <c r="HA25" s="241"/>
      <c r="HB25" s="241"/>
      <c r="HC25" s="241"/>
      <c r="HD25" s="241"/>
      <c r="HE25" s="241"/>
      <c r="HF25" s="241"/>
      <c r="HG25" s="241"/>
      <c r="HH25" s="241"/>
      <c r="HI25" s="241"/>
      <c r="HJ25" s="241"/>
      <c r="HK25" s="241"/>
      <c r="HL25" s="241"/>
      <c r="HM25" s="241"/>
      <c r="HN25" s="241"/>
      <c r="HO25" s="241"/>
      <c r="HP25" s="241"/>
      <c r="HQ25" s="241"/>
      <c r="HR25" s="241"/>
      <c r="HS25" s="241"/>
      <c r="HT25" s="241"/>
      <c r="HU25" s="241"/>
      <c r="HV25" s="241"/>
      <c r="HW25" s="241"/>
      <c r="HX25" s="241"/>
      <c r="HY25" s="241"/>
      <c r="HZ25" s="241"/>
      <c r="IA25" s="241"/>
      <c r="IB25" s="241"/>
      <c r="IC25" s="241"/>
      <c r="ID25" s="241"/>
      <c r="IE25" s="241"/>
      <c r="IF25" s="241"/>
      <c r="IG25" s="241"/>
      <c r="IH25" s="241"/>
      <c r="II25" s="241"/>
      <c r="IJ25" s="241"/>
      <c r="IK25" s="241"/>
      <c r="IL25" s="241"/>
      <c r="IM25" s="241"/>
      <c r="IN25" s="241"/>
      <c r="IO25" s="241"/>
      <c r="IP25" s="241"/>
      <c r="IQ25" s="241"/>
      <c r="IR25" s="241"/>
      <c r="IS25" s="241"/>
      <c r="IT25" s="241"/>
      <c r="IU25" s="241"/>
      <c r="IV25" s="241"/>
    </row>
    <row r="26" spans="1:256" ht="35.25" customHeight="1">
      <c r="A26" s="242" t="s">
        <v>331</v>
      </c>
      <c r="B26" s="243" t="s">
        <v>384</v>
      </c>
      <c r="C26" s="244" t="s">
        <v>385</v>
      </c>
      <c r="D26" s="245">
        <f>'[2]02 TTr UBND'!Q78</f>
        <v>97315000</v>
      </c>
      <c r="E26" s="308"/>
      <c r="F26" s="200"/>
      <c r="G26" s="200"/>
      <c r="H26" s="200"/>
      <c r="I26" s="200"/>
      <c r="J26" s="200"/>
      <c r="K26" s="200"/>
      <c r="L26" s="200"/>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200"/>
      <c r="AJ26" s="200"/>
      <c r="AK26" s="200"/>
      <c r="AL26" s="200"/>
      <c r="AM26" s="200"/>
      <c r="AN26" s="200"/>
      <c r="AO26" s="200"/>
      <c r="AP26" s="200"/>
      <c r="AQ26" s="200"/>
      <c r="AR26" s="200"/>
      <c r="AS26" s="200"/>
      <c r="AT26" s="200"/>
      <c r="AU26" s="200"/>
      <c r="AV26" s="200"/>
      <c r="AW26" s="200"/>
      <c r="AX26" s="200"/>
      <c r="AY26" s="200"/>
      <c r="AZ26" s="200"/>
      <c r="BA26" s="200"/>
      <c r="BB26" s="200"/>
      <c r="BC26" s="200"/>
      <c r="BD26" s="200"/>
      <c r="BE26" s="200"/>
      <c r="BF26" s="200"/>
      <c r="BG26" s="200"/>
      <c r="BH26" s="200"/>
      <c r="BI26" s="200"/>
      <c r="BJ26" s="200"/>
      <c r="BK26" s="200"/>
      <c r="BL26" s="200"/>
      <c r="BM26" s="200"/>
      <c r="BN26" s="200"/>
      <c r="BO26" s="200"/>
      <c r="BP26" s="200"/>
      <c r="BQ26" s="200"/>
      <c r="BR26" s="200"/>
      <c r="BS26" s="200"/>
      <c r="BT26" s="200"/>
      <c r="BU26" s="200"/>
      <c r="BV26" s="200"/>
      <c r="BW26" s="200"/>
      <c r="BX26" s="200"/>
      <c r="BY26" s="200"/>
      <c r="BZ26" s="200"/>
      <c r="CA26" s="200"/>
      <c r="CB26" s="200"/>
      <c r="CC26" s="200"/>
      <c r="CD26" s="200"/>
      <c r="CE26" s="200"/>
      <c r="CF26" s="200"/>
      <c r="CG26" s="200"/>
      <c r="CH26" s="200"/>
      <c r="CI26" s="200"/>
      <c r="CJ26" s="200"/>
      <c r="CK26" s="200"/>
      <c r="CL26" s="200"/>
      <c r="CM26" s="200"/>
      <c r="CN26" s="200"/>
      <c r="CO26" s="200"/>
      <c r="CP26" s="200"/>
      <c r="CQ26" s="200"/>
      <c r="CR26" s="200"/>
      <c r="CS26" s="200"/>
      <c r="CT26" s="200"/>
      <c r="CU26" s="200"/>
      <c r="CV26" s="200"/>
      <c r="CW26" s="200"/>
      <c r="CX26" s="200"/>
      <c r="CY26" s="200"/>
      <c r="CZ26" s="200"/>
      <c r="DA26" s="200"/>
      <c r="DB26" s="200"/>
      <c r="DC26" s="200"/>
      <c r="DD26" s="200"/>
      <c r="DE26" s="200"/>
      <c r="DF26" s="200"/>
      <c r="DG26" s="200"/>
      <c r="DH26" s="200"/>
      <c r="DI26" s="200"/>
      <c r="DJ26" s="200"/>
      <c r="DK26" s="200"/>
      <c r="DL26" s="200"/>
      <c r="DM26" s="200"/>
      <c r="DN26" s="200"/>
      <c r="DO26" s="200"/>
      <c r="DP26" s="200"/>
      <c r="DQ26" s="200"/>
      <c r="DR26" s="200"/>
      <c r="DS26" s="200"/>
      <c r="DT26" s="200"/>
      <c r="DU26" s="200"/>
      <c r="DV26" s="200"/>
      <c r="DW26" s="200"/>
      <c r="DX26" s="200"/>
      <c r="DY26" s="200"/>
      <c r="DZ26" s="200"/>
      <c r="EA26" s="200"/>
      <c r="EB26" s="200"/>
      <c r="EC26" s="200"/>
      <c r="ED26" s="200"/>
      <c r="EE26" s="200"/>
      <c r="EF26" s="200"/>
      <c r="EG26" s="200"/>
      <c r="EH26" s="200"/>
      <c r="EI26" s="200"/>
      <c r="EJ26" s="200"/>
      <c r="EK26" s="200"/>
      <c r="EL26" s="200"/>
      <c r="EM26" s="200"/>
      <c r="EN26" s="200"/>
      <c r="EO26" s="200"/>
      <c r="EP26" s="200"/>
      <c r="EQ26" s="200"/>
      <c r="ER26" s="200"/>
      <c r="ES26" s="200"/>
      <c r="ET26" s="200"/>
      <c r="EU26" s="200"/>
      <c r="EV26" s="200"/>
      <c r="EW26" s="200"/>
      <c r="EX26" s="200"/>
      <c r="EY26" s="200"/>
      <c r="EZ26" s="200"/>
      <c r="FA26" s="200"/>
      <c r="FB26" s="200"/>
      <c r="FC26" s="200"/>
      <c r="FD26" s="200"/>
      <c r="FE26" s="200"/>
      <c r="FF26" s="200"/>
      <c r="FG26" s="200"/>
      <c r="FH26" s="200"/>
      <c r="FI26" s="200"/>
      <c r="FJ26" s="200"/>
      <c r="FK26" s="200"/>
      <c r="FL26" s="200"/>
      <c r="FM26" s="200"/>
      <c r="FN26" s="200"/>
      <c r="FO26" s="200"/>
      <c r="FP26" s="200"/>
      <c r="FQ26" s="200"/>
      <c r="FR26" s="200"/>
      <c r="FS26" s="200"/>
      <c r="FT26" s="200"/>
      <c r="FU26" s="200"/>
      <c r="FV26" s="200"/>
      <c r="FW26" s="200"/>
      <c r="FX26" s="200"/>
      <c r="FY26" s="200"/>
      <c r="FZ26" s="200"/>
      <c r="GA26" s="200"/>
      <c r="GB26" s="200"/>
      <c r="GC26" s="200"/>
      <c r="GD26" s="200"/>
      <c r="GE26" s="200"/>
      <c r="GF26" s="200"/>
      <c r="GG26" s="200"/>
      <c r="GH26" s="200"/>
      <c r="GI26" s="200"/>
      <c r="GJ26" s="200"/>
      <c r="GK26" s="200"/>
      <c r="GL26" s="200"/>
      <c r="GM26" s="200"/>
      <c r="GN26" s="200"/>
      <c r="GO26" s="200"/>
      <c r="GP26" s="200"/>
      <c r="GQ26" s="200"/>
      <c r="GR26" s="200"/>
      <c r="GS26" s="200"/>
      <c r="GT26" s="200"/>
      <c r="GU26" s="200"/>
      <c r="GV26" s="200"/>
      <c r="GW26" s="200"/>
      <c r="GX26" s="200"/>
      <c r="GY26" s="200"/>
      <c r="GZ26" s="200"/>
      <c r="HA26" s="200"/>
      <c r="HB26" s="200"/>
      <c r="HC26" s="200"/>
      <c r="HD26" s="200"/>
      <c r="HE26" s="200"/>
      <c r="HF26" s="200"/>
      <c r="HG26" s="200"/>
      <c r="HH26" s="200"/>
      <c r="HI26" s="200"/>
      <c r="HJ26" s="200"/>
      <c r="HK26" s="200"/>
      <c r="HL26" s="200"/>
      <c r="HM26" s="200"/>
      <c r="HN26" s="200"/>
      <c r="HO26" s="200"/>
      <c r="HP26" s="200"/>
      <c r="HQ26" s="200"/>
      <c r="HR26" s="200"/>
      <c r="HS26" s="200"/>
      <c r="HT26" s="200"/>
      <c r="HU26" s="200"/>
      <c r="HV26" s="200"/>
      <c r="HW26" s="200"/>
      <c r="HX26" s="200"/>
      <c r="HY26" s="200"/>
      <c r="HZ26" s="200"/>
      <c r="IA26" s="200"/>
      <c r="IB26" s="200"/>
      <c r="IC26" s="200"/>
      <c r="ID26" s="200"/>
      <c r="IE26" s="200"/>
      <c r="IF26" s="200"/>
      <c r="IG26" s="200"/>
      <c r="IH26" s="200"/>
      <c r="II26" s="200"/>
      <c r="IJ26" s="200"/>
      <c r="IK26" s="200"/>
      <c r="IL26" s="200"/>
      <c r="IM26" s="200"/>
      <c r="IN26" s="200"/>
      <c r="IO26" s="200"/>
      <c r="IP26" s="200"/>
      <c r="IQ26" s="200"/>
      <c r="IR26" s="200"/>
      <c r="IS26" s="200"/>
      <c r="IT26" s="200"/>
      <c r="IU26" s="200"/>
      <c r="IV26" s="200"/>
    </row>
    <row r="27" spans="1:256" ht="23.25" customHeight="1">
      <c r="A27" s="185">
        <v>6</v>
      </c>
      <c r="B27" s="309" t="s">
        <v>386</v>
      </c>
      <c r="C27" s="309"/>
      <c r="D27" s="236">
        <f>SUM(D28:D29)</f>
        <v>613261000</v>
      </c>
      <c r="E27" s="248"/>
      <c r="F27" s="190"/>
      <c r="G27" s="190"/>
      <c r="H27" s="190"/>
      <c r="I27" s="190"/>
      <c r="J27" s="190"/>
      <c r="K27" s="190"/>
      <c r="L27" s="190"/>
      <c r="M27" s="190"/>
      <c r="N27" s="190"/>
      <c r="O27" s="190"/>
      <c r="P27" s="190"/>
      <c r="Q27" s="190"/>
      <c r="R27" s="190"/>
      <c r="S27" s="190"/>
      <c r="T27" s="190"/>
      <c r="U27" s="190"/>
      <c r="V27" s="190"/>
      <c r="W27" s="190"/>
      <c r="X27" s="190"/>
      <c r="Y27" s="190"/>
      <c r="Z27" s="190"/>
      <c r="AA27" s="190"/>
      <c r="AB27" s="190"/>
      <c r="AC27" s="190"/>
      <c r="AD27" s="190"/>
      <c r="AE27" s="190"/>
      <c r="AF27" s="190"/>
      <c r="AG27" s="190"/>
      <c r="AH27" s="190"/>
      <c r="AI27" s="190"/>
      <c r="AJ27" s="190"/>
      <c r="AK27" s="190"/>
      <c r="AL27" s="190"/>
      <c r="AM27" s="190"/>
      <c r="AN27" s="190"/>
      <c r="AO27" s="190"/>
      <c r="AP27" s="190"/>
      <c r="AQ27" s="190"/>
      <c r="AR27" s="190"/>
      <c r="AS27" s="190"/>
      <c r="AT27" s="190"/>
      <c r="AU27" s="190"/>
      <c r="AV27" s="190"/>
      <c r="AW27" s="190"/>
      <c r="AX27" s="190"/>
      <c r="AY27" s="190"/>
      <c r="AZ27" s="190"/>
      <c r="BA27" s="190"/>
      <c r="BB27" s="190"/>
      <c r="BC27" s="190"/>
      <c r="BD27" s="190"/>
      <c r="BE27" s="190"/>
      <c r="BF27" s="190"/>
      <c r="BG27" s="190"/>
      <c r="BH27" s="190"/>
      <c r="BI27" s="190"/>
      <c r="BJ27" s="190"/>
      <c r="BK27" s="190"/>
      <c r="BL27" s="190"/>
      <c r="BM27" s="190"/>
      <c r="BN27" s="190"/>
      <c r="BO27" s="190"/>
      <c r="BP27" s="190"/>
      <c r="BQ27" s="190"/>
      <c r="BR27" s="190"/>
      <c r="BS27" s="190"/>
      <c r="BT27" s="190"/>
      <c r="BU27" s="190"/>
      <c r="BV27" s="190"/>
      <c r="BW27" s="190"/>
      <c r="BX27" s="190"/>
      <c r="BY27" s="190"/>
      <c r="BZ27" s="190"/>
      <c r="CA27" s="190"/>
      <c r="CB27" s="190"/>
      <c r="CC27" s="190"/>
      <c r="CD27" s="190"/>
      <c r="CE27" s="190"/>
      <c r="CF27" s="190"/>
      <c r="CG27" s="190"/>
      <c r="CH27" s="190"/>
      <c r="CI27" s="190"/>
      <c r="CJ27" s="190"/>
      <c r="CK27" s="190"/>
      <c r="CL27" s="190"/>
      <c r="CM27" s="190"/>
      <c r="CN27" s="190"/>
      <c r="CO27" s="190"/>
      <c r="CP27" s="190"/>
      <c r="CQ27" s="190"/>
      <c r="CR27" s="190"/>
      <c r="CS27" s="190"/>
      <c r="CT27" s="190"/>
      <c r="CU27" s="190"/>
      <c r="CV27" s="190"/>
      <c r="CW27" s="190"/>
      <c r="CX27" s="190"/>
      <c r="CY27" s="190"/>
      <c r="CZ27" s="190"/>
      <c r="DA27" s="190"/>
      <c r="DB27" s="190"/>
      <c r="DC27" s="190"/>
      <c r="DD27" s="190"/>
      <c r="DE27" s="190"/>
      <c r="DF27" s="190"/>
      <c r="DG27" s="190"/>
      <c r="DH27" s="190"/>
      <c r="DI27" s="190"/>
      <c r="DJ27" s="190"/>
      <c r="DK27" s="190"/>
      <c r="DL27" s="190"/>
      <c r="DM27" s="190"/>
      <c r="DN27" s="190"/>
      <c r="DO27" s="190"/>
      <c r="DP27" s="190"/>
      <c r="DQ27" s="190"/>
      <c r="DR27" s="190"/>
      <c r="DS27" s="190"/>
      <c r="DT27" s="190"/>
      <c r="DU27" s="190"/>
      <c r="DV27" s="190"/>
      <c r="DW27" s="190"/>
      <c r="DX27" s="190"/>
      <c r="DY27" s="190"/>
      <c r="DZ27" s="190"/>
      <c r="EA27" s="190"/>
      <c r="EB27" s="190"/>
      <c r="EC27" s="190"/>
      <c r="ED27" s="190"/>
      <c r="EE27" s="190"/>
      <c r="EF27" s="190"/>
      <c r="EG27" s="190"/>
      <c r="EH27" s="190"/>
      <c r="EI27" s="190"/>
      <c r="EJ27" s="190"/>
      <c r="EK27" s="190"/>
      <c r="EL27" s="190"/>
      <c r="EM27" s="190"/>
      <c r="EN27" s="190"/>
      <c r="EO27" s="190"/>
      <c r="EP27" s="190"/>
      <c r="EQ27" s="190"/>
      <c r="ER27" s="190"/>
      <c r="ES27" s="190"/>
      <c r="ET27" s="190"/>
      <c r="EU27" s="190"/>
      <c r="EV27" s="190"/>
      <c r="EW27" s="190"/>
      <c r="EX27" s="190"/>
      <c r="EY27" s="190"/>
      <c r="EZ27" s="190"/>
      <c r="FA27" s="190"/>
      <c r="FB27" s="190"/>
      <c r="FC27" s="190"/>
      <c r="FD27" s="190"/>
      <c r="FE27" s="190"/>
      <c r="FF27" s="190"/>
      <c r="FG27" s="190"/>
      <c r="FH27" s="190"/>
      <c r="FI27" s="190"/>
      <c r="FJ27" s="190"/>
      <c r="FK27" s="190"/>
      <c r="FL27" s="190"/>
      <c r="FM27" s="190"/>
      <c r="FN27" s="190"/>
      <c r="FO27" s="190"/>
      <c r="FP27" s="190"/>
      <c r="FQ27" s="190"/>
      <c r="FR27" s="190"/>
      <c r="FS27" s="190"/>
      <c r="FT27" s="190"/>
      <c r="FU27" s="190"/>
      <c r="FV27" s="190"/>
      <c r="FW27" s="190"/>
      <c r="FX27" s="190"/>
      <c r="FY27" s="190"/>
      <c r="FZ27" s="190"/>
      <c r="GA27" s="190"/>
      <c r="GB27" s="190"/>
      <c r="GC27" s="190"/>
      <c r="GD27" s="190"/>
      <c r="GE27" s="190"/>
      <c r="GF27" s="190"/>
      <c r="GG27" s="190"/>
      <c r="GH27" s="190"/>
      <c r="GI27" s="190"/>
      <c r="GJ27" s="190"/>
      <c r="GK27" s="190"/>
      <c r="GL27" s="190"/>
      <c r="GM27" s="190"/>
      <c r="GN27" s="190"/>
      <c r="GO27" s="190"/>
      <c r="GP27" s="190"/>
      <c r="GQ27" s="190"/>
      <c r="GR27" s="190"/>
      <c r="GS27" s="190"/>
      <c r="GT27" s="190"/>
      <c r="GU27" s="190"/>
      <c r="GV27" s="190"/>
      <c r="GW27" s="190"/>
      <c r="GX27" s="190"/>
      <c r="GY27" s="190"/>
      <c r="GZ27" s="190"/>
      <c r="HA27" s="190"/>
      <c r="HB27" s="190"/>
      <c r="HC27" s="190"/>
      <c r="HD27" s="190"/>
      <c r="HE27" s="190"/>
      <c r="HF27" s="190"/>
      <c r="HG27" s="190"/>
      <c r="HH27" s="190"/>
      <c r="HI27" s="190"/>
      <c r="HJ27" s="190"/>
      <c r="HK27" s="190"/>
      <c r="HL27" s="190"/>
      <c r="HM27" s="190"/>
      <c r="HN27" s="190"/>
      <c r="HO27" s="190"/>
      <c r="HP27" s="190"/>
      <c r="HQ27" s="190"/>
      <c r="HR27" s="190"/>
      <c r="HS27" s="190"/>
      <c r="HT27" s="190"/>
      <c r="HU27" s="190"/>
      <c r="HV27" s="190"/>
      <c r="HW27" s="190"/>
      <c r="HX27" s="190"/>
      <c r="HY27" s="190"/>
      <c r="HZ27" s="190"/>
      <c r="IA27" s="190"/>
      <c r="IB27" s="190"/>
      <c r="IC27" s="190"/>
      <c r="ID27" s="190"/>
      <c r="IE27" s="190"/>
      <c r="IF27" s="190"/>
      <c r="IG27" s="190"/>
      <c r="IH27" s="190"/>
      <c r="II27" s="190"/>
      <c r="IJ27" s="190"/>
      <c r="IK27" s="190"/>
      <c r="IL27" s="190"/>
      <c r="IM27" s="190"/>
      <c r="IN27" s="190"/>
      <c r="IO27" s="190"/>
      <c r="IP27" s="190"/>
      <c r="IQ27" s="190"/>
      <c r="IR27" s="190"/>
      <c r="IS27" s="190"/>
      <c r="IT27" s="190"/>
      <c r="IU27" s="190"/>
      <c r="IV27" s="190"/>
    </row>
    <row r="28" spans="1:256" ht="37.5" customHeight="1">
      <c r="A28" s="255" t="s">
        <v>338</v>
      </c>
      <c r="B28" s="256" t="s">
        <v>339</v>
      </c>
      <c r="C28" s="257" t="s">
        <v>341</v>
      </c>
      <c r="D28" s="240">
        <f>'[2]02 TTr UBND'!Q84</f>
        <v>313261000</v>
      </c>
      <c r="E28" s="307" t="s">
        <v>394</v>
      </c>
      <c r="F28" s="241"/>
      <c r="G28" s="241"/>
      <c r="H28" s="241"/>
      <c r="I28" s="241"/>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1"/>
      <c r="AY28" s="241"/>
      <c r="AZ28" s="241"/>
      <c r="BA28" s="241"/>
      <c r="BB28" s="241"/>
      <c r="BC28" s="241"/>
      <c r="BD28" s="241"/>
      <c r="BE28" s="241"/>
      <c r="BF28" s="241"/>
      <c r="BG28" s="241"/>
      <c r="BH28" s="241"/>
      <c r="BI28" s="241"/>
      <c r="BJ28" s="241"/>
      <c r="BK28" s="241"/>
      <c r="BL28" s="241"/>
      <c r="BM28" s="241"/>
      <c r="BN28" s="241"/>
      <c r="BO28" s="241"/>
      <c r="BP28" s="241"/>
      <c r="BQ28" s="241"/>
      <c r="BR28" s="241"/>
      <c r="BS28" s="241"/>
      <c r="BT28" s="241"/>
      <c r="BU28" s="241"/>
      <c r="BV28" s="241"/>
      <c r="BW28" s="241"/>
      <c r="BX28" s="241"/>
      <c r="BY28" s="241"/>
      <c r="BZ28" s="241"/>
      <c r="CA28" s="241"/>
      <c r="CB28" s="241"/>
      <c r="CC28" s="241"/>
      <c r="CD28" s="241"/>
      <c r="CE28" s="241"/>
      <c r="CF28" s="241"/>
      <c r="CG28" s="241"/>
      <c r="CH28" s="241"/>
      <c r="CI28" s="241"/>
      <c r="CJ28" s="241"/>
      <c r="CK28" s="241"/>
      <c r="CL28" s="241"/>
      <c r="CM28" s="241"/>
      <c r="CN28" s="241"/>
      <c r="CO28" s="241"/>
      <c r="CP28" s="241"/>
      <c r="CQ28" s="241"/>
      <c r="CR28" s="241"/>
      <c r="CS28" s="241"/>
      <c r="CT28" s="241"/>
      <c r="CU28" s="241"/>
      <c r="CV28" s="241"/>
      <c r="CW28" s="241"/>
      <c r="CX28" s="241"/>
      <c r="CY28" s="241"/>
      <c r="CZ28" s="241"/>
      <c r="DA28" s="241"/>
      <c r="DB28" s="241"/>
      <c r="DC28" s="241"/>
      <c r="DD28" s="241"/>
      <c r="DE28" s="241"/>
      <c r="DF28" s="241"/>
      <c r="DG28" s="241"/>
      <c r="DH28" s="241"/>
      <c r="DI28" s="241"/>
      <c r="DJ28" s="241"/>
      <c r="DK28" s="241"/>
      <c r="DL28" s="241"/>
      <c r="DM28" s="241"/>
      <c r="DN28" s="241"/>
      <c r="DO28" s="241"/>
      <c r="DP28" s="241"/>
      <c r="DQ28" s="241"/>
      <c r="DR28" s="241"/>
      <c r="DS28" s="241"/>
      <c r="DT28" s="241"/>
      <c r="DU28" s="241"/>
      <c r="DV28" s="241"/>
      <c r="DW28" s="241"/>
      <c r="DX28" s="241"/>
      <c r="DY28" s="241"/>
      <c r="DZ28" s="241"/>
      <c r="EA28" s="241"/>
      <c r="EB28" s="241"/>
      <c r="EC28" s="241"/>
      <c r="ED28" s="241"/>
      <c r="EE28" s="241"/>
      <c r="EF28" s="241"/>
      <c r="EG28" s="241"/>
      <c r="EH28" s="241"/>
      <c r="EI28" s="241"/>
      <c r="EJ28" s="241"/>
      <c r="EK28" s="241"/>
      <c r="EL28" s="241"/>
      <c r="EM28" s="241"/>
      <c r="EN28" s="241"/>
      <c r="EO28" s="241"/>
      <c r="EP28" s="241"/>
      <c r="EQ28" s="241"/>
      <c r="ER28" s="241"/>
      <c r="ES28" s="241"/>
      <c r="ET28" s="241"/>
      <c r="EU28" s="241"/>
      <c r="EV28" s="241"/>
      <c r="EW28" s="241"/>
      <c r="EX28" s="241"/>
      <c r="EY28" s="241"/>
      <c r="EZ28" s="241"/>
      <c r="FA28" s="241"/>
      <c r="FB28" s="241"/>
      <c r="FC28" s="241"/>
      <c r="FD28" s="241"/>
      <c r="FE28" s="241"/>
      <c r="FF28" s="241"/>
      <c r="FG28" s="241"/>
      <c r="FH28" s="241"/>
      <c r="FI28" s="241"/>
      <c r="FJ28" s="241"/>
      <c r="FK28" s="241"/>
      <c r="FL28" s="241"/>
      <c r="FM28" s="241"/>
      <c r="FN28" s="241"/>
      <c r="FO28" s="241"/>
      <c r="FP28" s="241"/>
      <c r="FQ28" s="241"/>
      <c r="FR28" s="241"/>
      <c r="FS28" s="241"/>
      <c r="FT28" s="241"/>
      <c r="FU28" s="241"/>
      <c r="FV28" s="241"/>
      <c r="FW28" s="241"/>
      <c r="FX28" s="241"/>
      <c r="FY28" s="241"/>
      <c r="FZ28" s="241"/>
      <c r="GA28" s="241"/>
      <c r="GB28" s="241"/>
      <c r="GC28" s="241"/>
      <c r="GD28" s="241"/>
      <c r="GE28" s="241"/>
      <c r="GF28" s="241"/>
      <c r="GG28" s="241"/>
      <c r="GH28" s="241"/>
      <c r="GI28" s="241"/>
      <c r="GJ28" s="241"/>
      <c r="GK28" s="241"/>
      <c r="GL28" s="241"/>
      <c r="GM28" s="241"/>
      <c r="GN28" s="241"/>
      <c r="GO28" s="241"/>
      <c r="GP28" s="241"/>
      <c r="GQ28" s="241"/>
      <c r="GR28" s="241"/>
      <c r="GS28" s="241"/>
      <c r="GT28" s="241"/>
      <c r="GU28" s="241"/>
      <c r="GV28" s="241"/>
      <c r="GW28" s="241"/>
      <c r="GX28" s="241"/>
      <c r="GY28" s="241"/>
      <c r="GZ28" s="241"/>
      <c r="HA28" s="241"/>
      <c r="HB28" s="241"/>
      <c r="HC28" s="241"/>
      <c r="HD28" s="241"/>
      <c r="HE28" s="241"/>
      <c r="HF28" s="241"/>
      <c r="HG28" s="241"/>
      <c r="HH28" s="241"/>
      <c r="HI28" s="241"/>
      <c r="HJ28" s="241"/>
      <c r="HK28" s="241"/>
      <c r="HL28" s="241"/>
      <c r="HM28" s="241"/>
      <c r="HN28" s="241"/>
      <c r="HO28" s="241"/>
      <c r="HP28" s="241"/>
      <c r="HQ28" s="241"/>
      <c r="HR28" s="241"/>
      <c r="HS28" s="241"/>
      <c r="HT28" s="241"/>
      <c r="HU28" s="241"/>
      <c r="HV28" s="241"/>
      <c r="HW28" s="241"/>
      <c r="HX28" s="241"/>
      <c r="HY28" s="241"/>
      <c r="HZ28" s="241"/>
      <c r="IA28" s="241"/>
      <c r="IB28" s="241"/>
      <c r="IC28" s="241"/>
      <c r="ID28" s="241"/>
      <c r="IE28" s="241"/>
      <c r="IF28" s="241"/>
      <c r="IG28" s="241"/>
      <c r="IH28" s="241"/>
      <c r="II28" s="241"/>
      <c r="IJ28" s="241"/>
      <c r="IK28" s="241"/>
      <c r="IL28" s="241"/>
      <c r="IM28" s="241"/>
      <c r="IN28" s="241"/>
      <c r="IO28" s="241"/>
      <c r="IP28" s="241"/>
      <c r="IQ28" s="241"/>
      <c r="IR28" s="241"/>
      <c r="IS28" s="241"/>
      <c r="IT28" s="241"/>
      <c r="IU28" s="241"/>
      <c r="IV28" s="241"/>
    </row>
    <row r="29" spans="1:256" ht="37.5" customHeight="1">
      <c r="A29" s="242" t="s">
        <v>345</v>
      </c>
      <c r="B29" s="243" t="s">
        <v>346</v>
      </c>
      <c r="C29" s="258" t="s">
        <v>387</v>
      </c>
      <c r="D29" s="245">
        <f>'[2]02 TTr UBND'!Q87</f>
        <v>300000000</v>
      </c>
      <c r="E29" s="308"/>
      <c r="F29" s="241"/>
      <c r="G29" s="241"/>
      <c r="H29" s="241"/>
      <c r="I29" s="241"/>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1"/>
      <c r="AY29" s="241"/>
      <c r="AZ29" s="241"/>
      <c r="BA29" s="241"/>
      <c r="BB29" s="241"/>
      <c r="BC29" s="241"/>
      <c r="BD29" s="241"/>
      <c r="BE29" s="241"/>
      <c r="BF29" s="241"/>
      <c r="BG29" s="241"/>
      <c r="BH29" s="241"/>
      <c r="BI29" s="241"/>
      <c r="BJ29" s="241"/>
      <c r="BK29" s="241"/>
      <c r="BL29" s="241"/>
      <c r="BM29" s="241"/>
      <c r="BN29" s="241"/>
      <c r="BO29" s="241"/>
      <c r="BP29" s="241"/>
      <c r="BQ29" s="241"/>
      <c r="BR29" s="241"/>
      <c r="BS29" s="241"/>
      <c r="BT29" s="241"/>
      <c r="BU29" s="241"/>
      <c r="BV29" s="241"/>
      <c r="BW29" s="241"/>
      <c r="BX29" s="241"/>
      <c r="BY29" s="241"/>
      <c r="BZ29" s="241"/>
      <c r="CA29" s="241"/>
      <c r="CB29" s="241"/>
      <c r="CC29" s="241"/>
      <c r="CD29" s="241"/>
      <c r="CE29" s="241"/>
      <c r="CF29" s="241"/>
      <c r="CG29" s="241"/>
      <c r="CH29" s="241"/>
      <c r="CI29" s="241"/>
      <c r="CJ29" s="241"/>
      <c r="CK29" s="241"/>
      <c r="CL29" s="241"/>
      <c r="CM29" s="241"/>
      <c r="CN29" s="241"/>
      <c r="CO29" s="241"/>
      <c r="CP29" s="241"/>
      <c r="CQ29" s="241"/>
      <c r="CR29" s="241"/>
      <c r="CS29" s="241"/>
      <c r="CT29" s="241"/>
      <c r="CU29" s="241"/>
      <c r="CV29" s="241"/>
      <c r="CW29" s="241"/>
      <c r="CX29" s="241"/>
      <c r="CY29" s="241"/>
      <c r="CZ29" s="241"/>
      <c r="DA29" s="241"/>
      <c r="DB29" s="241"/>
      <c r="DC29" s="241"/>
      <c r="DD29" s="241"/>
      <c r="DE29" s="241"/>
      <c r="DF29" s="241"/>
      <c r="DG29" s="241"/>
      <c r="DH29" s="241"/>
      <c r="DI29" s="241"/>
      <c r="DJ29" s="241"/>
      <c r="DK29" s="241"/>
      <c r="DL29" s="241"/>
      <c r="DM29" s="241"/>
      <c r="DN29" s="241"/>
      <c r="DO29" s="241"/>
      <c r="DP29" s="241"/>
      <c r="DQ29" s="241"/>
      <c r="DR29" s="241"/>
      <c r="DS29" s="241"/>
      <c r="DT29" s="241"/>
      <c r="DU29" s="241"/>
      <c r="DV29" s="241"/>
      <c r="DW29" s="241"/>
      <c r="DX29" s="241"/>
      <c r="DY29" s="241"/>
      <c r="DZ29" s="241"/>
      <c r="EA29" s="241"/>
      <c r="EB29" s="241"/>
      <c r="EC29" s="241"/>
      <c r="ED29" s="241"/>
      <c r="EE29" s="241"/>
      <c r="EF29" s="241"/>
      <c r="EG29" s="241"/>
      <c r="EH29" s="241"/>
      <c r="EI29" s="241"/>
      <c r="EJ29" s="241"/>
      <c r="EK29" s="241"/>
      <c r="EL29" s="241"/>
      <c r="EM29" s="241"/>
      <c r="EN29" s="241"/>
      <c r="EO29" s="241"/>
      <c r="EP29" s="241"/>
      <c r="EQ29" s="241"/>
      <c r="ER29" s="241"/>
      <c r="ES29" s="241"/>
      <c r="ET29" s="241"/>
      <c r="EU29" s="241"/>
      <c r="EV29" s="241"/>
      <c r="EW29" s="241"/>
      <c r="EX29" s="241"/>
      <c r="EY29" s="241"/>
      <c r="EZ29" s="241"/>
      <c r="FA29" s="241"/>
      <c r="FB29" s="241"/>
      <c r="FC29" s="241"/>
      <c r="FD29" s="241"/>
      <c r="FE29" s="241"/>
      <c r="FF29" s="241"/>
      <c r="FG29" s="241"/>
      <c r="FH29" s="241"/>
      <c r="FI29" s="241"/>
      <c r="FJ29" s="241"/>
      <c r="FK29" s="241"/>
      <c r="FL29" s="241"/>
      <c r="FM29" s="241"/>
      <c r="FN29" s="241"/>
      <c r="FO29" s="241"/>
      <c r="FP29" s="241"/>
      <c r="FQ29" s="241"/>
      <c r="FR29" s="241"/>
      <c r="FS29" s="241"/>
      <c r="FT29" s="241"/>
      <c r="FU29" s="241"/>
      <c r="FV29" s="241"/>
      <c r="FW29" s="241"/>
      <c r="FX29" s="241"/>
      <c r="FY29" s="241"/>
      <c r="FZ29" s="241"/>
      <c r="GA29" s="241"/>
      <c r="GB29" s="241"/>
      <c r="GC29" s="241"/>
      <c r="GD29" s="241"/>
      <c r="GE29" s="241"/>
      <c r="GF29" s="241"/>
      <c r="GG29" s="241"/>
      <c r="GH29" s="241"/>
      <c r="GI29" s="241"/>
      <c r="GJ29" s="241"/>
      <c r="GK29" s="241"/>
      <c r="GL29" s="241"/>
      <c r="GM29" s="241"/>
      <c r="GN29" s="241"/>
      <c r="GO29" s="241"/>
      <c r="GP29" s="241"/>
      <c r="GQ29" s="241"/>
      <c r="GR29" s="241"/>
      <c r="GS29" s="241"/>
      <c r="GT29" s="241"/>
      <c r="GU29" s="241"/>
      <c r="GV29" s="241"/>
      <c r="GW29" s="241"/>
      <c r="GX29" s="241"/>
      <c r="GY29" s="241"/>
      <c r="GZ29" s="241"/>
      <c r="HA29" s="241"/>
      <c r="HB29" s="241"/>
      <c r="HC29" s="241"/>
      <c r="HD29" s="241"/>
      <c r="HE29" s="241"/>
      <c r="HF29" s="241"/>
      <c r="HG29" s="241"/>
      <c r="HH29" s="241"/>
      <c r="HI29" s="241"/>
      <c r="HJ29" s="241"/>
      <c r="HK29" s="241"/>
      <c r="HL29" s="241"/>
      <c r="HM29" s="241"/>
      <c r="HN29" s="241"/>
      <c r="HO29" s="241"/>
      <c r="HP29" s="241"/>
      <c r="HQ29" s="241"/>
      <c r="HR29" s="241"/>
      <c r="HS29" s="241"/>
      <c r="HT29" s="241"/>
      <c r="HU29" s="241"/>
      <c r="HV29" s="241"/>
      <c r="HW29" s="241"/>
      <c r="HX29" s="241"/>
      <c r="HY29" s="241"/>
      <c r="HZ29" s="241"/>
      <c r="IA29" s="241"/>
      <c r="IB29" s="241"/>
      <c r="IC29" s="241"/>
      <c r="ID29" s="241"/>
      <c r="IE29" s="241"/>
      <c r="IF29" s="241"/>
      <c r="IG29" s="241"/>
      <c r="IH29" s="241"/>
      <c r="II29" s="241"/>
      <c r="IJ29" s="241"/>
      <c r="IK29" s="241"/>
      <c r="IL29" s="241"/>
      <c r="IM29" s="241"/>
      <c r="IN29" s="241"/>
      <c r="IO29" s="241"/>
      <c r="IP29" s="241"/>
      <c r="IQ29" s="241"/>
      <c r="IR29" s="241"/>
      <c r="IS29" s="241"/>
      <c r="IT29" s="241"/>
      <c r="IU29" s="241"/>
      <c r="IV29" s="241"/>
    </row>
    <row r="30" spans="1:256">
      <c r="A30" s="185" t="s">
        <v>178</v>
      </c>
      <c r="B30" s="309" t="s">
        <v>388</v>
      </c>
      <c r="C30" s="309"/>
      <c r="D30" s="236">
        <f>D31</f>
        <v>58500000</v>
      </c>
      <c r="E30" s="247"/>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178"/>
      <c r="AI30" s="178"/>
      <c r="AJ30" s="178"/>
      <c r="AK30" s="178"/>
      <c r="AL30" s="178"/>
      <c r="AM30" s="178"/>
      <c r="AN30" s="178"/>
      <c r="AO30" s="178"/>
      <c r="AP30" s="178"/>
      <c r="AQ30" s="178"/>
      <c r="AR30" s="178"/>
      <c r="AS30" s="178"/>
      <c r="AT30" s="178"/>
      <c r="AU30" s="178"/>
      <c r="AV30" s="178"/>
      <c r="AW30" s="178"/>
      <c r="AX30" s="178"/>
      <c r="AY30" s="178"/>
      <c r="AZ30" s="178"/>
      <c r="BA30" s="178"/>
      <c r="BB30" s="178"/>
      <c r="BC30" s="178"/>
      <c r="BD30" s="178"/>
      <c r="BE30" s="178"/>
      <c r="BF30" s="178"/>
      <c r="BG30" s="178"/>
      <c r="BH30" s="178"/>
      <c r="BI30" s="178"/>
      <c r="BJ30" s="178"/>
      <c r="BK30" s="178"/>
      <c r="BL30" s="178"/>
      <c r="BM30" s="178"/>
      <c r="BN30" s="178"/>
      <c r="BO30" s="178"/>
      <c r="BP30" s="178"/>
      <c r="BQ30" s="178"/>
      <c r="BR30" s="178"/>
      <c r="BS30" s="178"/>
      <c r="BT30" s="178"/>
      <c r="BU30" s="178"/>
      <c r="BV30" s="178"/>
      <c r="BW30" s="178"/>
      <c r="BX30" s="178"/>
      <c r="BY30" s="178"/>
      <c r="BZ30" s="178"/>
      <c r="CA30" s="178"/>
      <c r="CB30" s="178"/>
      <c r="CC30" s="178"/>
      <c r="CD30" s="178"/>
      <c r="CE30" s="178"/>
      <c r="CF30" s="178"/>
      <c r="CG30" s="178"/>
      <c r="CH30" s="178"/>
      <c r="CI30" s="178"/>
      <c r="CJ30" s="178"/>
      <c r="CK30" s="178"/>
      <c r="CL30" s="178"/>
      <c r="CM30" s="178"/>
      <c r="CN30" s="178"/>
      <c r="CO30" s="178"/>
      <c r="CP30" s="178"/>
      <c r="CQ30" s="178"/>
      <c r="CR30" s="178"/>
      <c r="CS30" s="178"/>
      <c r="CT30" s="178"/>
      <c r="CU30" s="178"/>
      <c r="CV30" s="178"/>
      <c r="CW30" s="178"/>
      <c r="CX30" s="178"/>
      <c r="CY30" s="178"/>
      <c r="CZ30" s="178"/>
      <c r="DA30" s="178"/>
      <c r="DB30" s="178"/>
      <c r="DC30" s="178"/>
      <c r="DD30" s="178"/>
      <c r="DE30" s="178"/>
      <c r="DF30" s="178"/>
      <c r="DG30" s="178"/>
      <c r="DH30" s="178"/>
      <c r="DI30" s="178"/>
      <c r="DJ30" s="178"/>
      <c r="DK30" s="178"/>
      <c r="DL30" s="178"/>
      <c r="DM30" s="178"/>
      <c r="DN30" s="178"/>
      <c r="DO30" s="178"/>
      <c r="DP30" s="178"/>
      <c r="DQ30" s="178"/>
      <c r="DR30" s="178"/>
      <c r="DS30" s="178"/>
      <c r="DT30" s="178"/>
      <c r="DU30" s="178"/>
      <c r="DV30" s="178"/>
      <c r="DW30" s="178"/>
      <c r="DX30" s="178"/>
      <c r="DY30" s="178"/>
      <c r="DZ30" s="178"/>
      <c r="EA30" s="178"/>
      <c r="EB30" s="178"/>
      <c r="EC30" s="178"/>
      <c r="ED30" s="178"/>
      <c r="EE30" s="178"/>
      <c r="EF30" s="178"/>
      <c r="EG30" s="178"/>
      <c r="EH30" s="178"/>
      <c r="EI30" s="178"/>
      <c r="EJ30" s="178"/>
      <c r="EK30" s="178"/>
      <c r="EL30" s="178"/>
      <c r="EM30" s="178"/>
      <c r="EN30" s="178"/>
      <c r="EO30" s="178"/>
      <c r="EP30" s="178"/>
      <c r="EQ30" s="178"/>
      <c r="ER30" s="178"/>
      <c r="ES30" s="178"/>
      <c r="ET30" s="178"/>
      <c r="EU30" s="178"/>
      <c r="EV30" s="178"/>
      <c r="EW30" s="178"/>
      <c r="EX30" s="178"/>
      <c r="EY30" s="178"/>
      <c r="EZ30" s="178"/>
      <c r="FA30" s="178"/>
      <c r="FB30" s="178"/>
      <c r="FC30" s="178"/>
      <c r="FD30" s="178"/>
      <c r="FE30" s="178"/>
      <c r="FF30" s="178"/>
      <c r="FG30" s="178"/>
      <c r="FH30" s="178"/>
      <c r="FI30" s="178"/>
      <c r="FJ30" s="178"/>
      <c r="FK30" s="178"/>
      <c r="FL30" s="178"/>
      <c r="FM30" s="178"/>
      <c r="FN30" s="178"/>
      <c r="FO30" s="178"/>
      <c r="FP30" s="178"/>
      <c r="FQ30" s="178"/>
      <c r="FR30" s="178"/>
      <c r="FS30" s="178"/>
      <c r="FT30" s="178"/>
      <c r="FU30" s="178"/>
      <c r="FV30" s="178"/>
      <c r="FW30" s="178"/>
      <c r="FX30" s="178"/>
      <c r="FY30" s="178"/>
      <c r="FZ30" s="178"/>
      <c r="GA30" s="178"/>
      <c r="GB30" s="178"/>
      <c r="GC30" s="178"/>
      <c r="GD30" s="178"/>
      <c r="GE30" s="178"/>
      <c r="GF30" s="178"/>
      <c r="GG30" s="178"/>
      <c r="GH30" s="178"/>
      <c r="GI30" s="178"/>
      <c r="GJ30" s="178"/>
      <c r="GK30" s="178"/>
      <c r="GL30" s="178"/>
      <c r="GM30" s="178"/>
      <c r="GN30" s="178"/>
      <c r="GO30" s="178"/>
      <c r="GP30" s="178"/>
      <c r="GQ30" s="178"/>
      <c r="GR30" s="178"/>
      <c r="GS30" s="178"/>
      <c r="GT30" s="178"/>
      <c r="GU30" s="178"/>
      <c r="GV30" s="178"/>
      <c r="GW30" s="178"/>
      <c r="GX30" s="178"/>
      <c r="GY30" s="178"/>
      <c r="GZ30" s="178"/>
      <c r="HA30" s="178"/>
      <c r="HB30" s="178"/>
      <c r="HC30" s="178"/>
      <c r="HD30" s="178"/>
      <c r="HE30" s="178"/>
      <c r="HF30" s="178"/>
      <c r="HG30" s="178"/>
      <c r="HH30" s="178"/>
      <c r="HI30" s="178"/>
      <c r="HJ30" s="178"/>
      <c r="HK30" s="178"/>
      <c r="HL30" s="178"/>
      <c r="HM30" s="178"/>
      <c r="HN30" s="178"/>
      <c r="HO30" s="178"/>
      <c r="HP30" s="178"/>
      <c r="HQ30" s="178"/>
      <c r="HR30" s="178"/>
      <c r="HS30" s="178"/>
      <c r="HT30" s="178"/>
      <c r="HU30" s="178"/>
      <c r="HV30" s="178"/>
      <c r="HW30" s="178"/>
      <c r="HX30" s="178"/>
      <c r="HY30" s="178"/>
      <c r="HZ30" s="178"/>
      <c r="IA30" s="178"/>
      <c r="IB30" s="178"/>
      <c r="IC30" s="178"/>
      <c r="ID30" s="178"/>
      <c r="IE30" s="178"/>
      <c r="IF30" s="178"/>
      <c r="IG30" s="178"/>
      <c r="IH30" s="178"/>
      <c r="II30" s="178"/>
      <c r="IJ30" s="178"/>
      <c r="IK30" s="178"/>
      <c r="IL30" s="178"/>
      <c r="IM30" s="178"/>
      <c r="IN30" s="178"/>
      <c r="IO30" s="178"/>
      <c r="IP30" s="178"/>
      <c r="IQ30" s="178"/>
      <c r="IR30" s="178"/>
      <c r="IS30" s="178"/>
      <c r="IT30" s="178"/>
      <c r="IU30" s="178"/>
      <c r="IV30" s="178"/>
    </row>
    <row r="31" spans="1:256" ht="31.5">
      <c r="A31" s="247">
        <v>1</v>
      </c>
      <c r="B31" s="248" t="s">
        <v>389</v>
      </c>
      <c r="C31" s="249" t="s">
        <v>390</v>
      </c>
      <c r="D31" s="250">
        <f>'[2]02 TTr UBND'!Q93</f>
        <v>58500000</v>
      </c>
      <c r="E31" s="248" t="s">
        <v>394</v>
      </c>
      <c r="F31" s="241"/>
      <c r="G31" s="241"/>
      <c r="H31" s="241"/>
      <c r="I31" s="241"/>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c r="BB31" s="241"/>
      <c r="BC31" s="241"/>
      <c r="BD31" s="241"/>
      <c r="BE31" s="241"/>
      <c r="BF31" s="241"/>
      <c r="BG31" s="241"/>
      <c r="BH31" s="241"/>
      <c r="BI31" s="241"/>
      <c r="BJ31" s="241"/>
      <c r="BK31" s="241"/>
      <c r="BL31" s="241"/>
      <c r="BM31" s="241"/>
      <c r="BN31" s="241"/>
      <c r="BO31" s="241"/>
      <c r="BP31" s="241"/>
      <c r="BQ31" s="241"/>
      <c r="BR31" s="241"/>
      <c r="BS31" s="241"/>
      <c r="BT31" s="241"/>
      <c r="BU31" s="241"/>
      <c r="BV31" s="241"/>
      <c r="BW31" s="241"/>
      <c r="BX31" s="241"/>
      <c r="BY31" s="241"/>
      <c r="BZ31" s="241"/>
      <c r="CA31" s="241"/>
      <c r="CB31" s="241"/>
      <c r="CC31" s="241"/>
      <c r="CD31" s="241"/>
      <c r="CE31" s="241"/>
      <c r="CF31" s="241"/>
      <c r="CG31" s="241"/>
      <c r="CH31" s="241"/>
      <c r="CI31" s="241"/>
      <c r="CJ31" s="241"/>
      <c r="CK31" s="241"/>
      <c r="CL31" s="241"/>
      <c r="CM31" s="241"/>
      <c r="CN31" s="241"/>
      <c r="CO31" s="241"/>
      <c r="CP31" s="241"/>
      <c r="CQ31" s="241"/>
      <c r="CR31" s="241"/>
      <c r="CS31" s="241"/>
      <c r="CT31" s="241"/>
      <c r="CU31" s="241"/>
      <c r="CV31" s="241"/>
      <c r="CW31" s="241"/>
      <c r="CX31" s="241"/>
      <c r="CY31" s="241"/>
      <c r="CZ31" s="241"/>
      <c r="DA31" s="241"/>
      <c r="DB31" s="241"/>
      <c r="DC31" s="241"/>
      <c r="DD31" s="241"/>
      <c r="DE31" s="241"/>
      <c r="DF31" s="241"/>
      <c r="DG31" s="241"/>
      <c r="DH31" s="241"/>
      <c r="DI31" s="241"/>
      <c r="DJ31" s="241"/>
      <c r="DK31" s="241"/>
      <c r="DL31" s="241"/>
      <c r="DM31" s="241"/>
      <c r="DN31" s="241"/>
      <c r="DO31" s="241"/>
      <c r="DP31" s="241"/>
      <c r="DQ31" s="241"/>
      <c r="DR31" s="241"/>
      <c r="DS31" s="241"/>
      <c r="DT31" s="241"/>
      <c r="DU31" s="241"/>
      <c r="DV31" s="241"/>
      <c r="DW31" s="241"/>
      <c r="DX31" s="241"/>
      <c r="DY31" s="241"/>
      <c r="DZ31" s="241"/>
      <c r="EA31" s="241"/>
      <c r="EB31" s="241"/>
      <c r="EC31" s="241"/>
      <c r="ED31" s="241"/>
      <c r="EE31" s="241"/>
      <c r="EF31" s="241"/>
      <c r="EG31" s="241"/>
      <c r="EH31" s="241"/>
      <c r="EI31" s="241"/>
      <c r="EJ31" s="241"/>
      <c r="EK31" s="241"/>
      <c r="EL31" s="241"/>
      <c r="EM31" s="241"/>
      <c r="EN31" s="241"/>
      <c r="EO31" s="241"/>
      <c r="EP31" s="241"/>
      <c r="EQ31" s="241"/>
      <c r="ER31" s="241"/>
      <c r="ES31" s="241"/>
      <c r="ET31" s="241"/>
      <c r="EU31" s="241"/>
      <c r="EV31" s="241"/>
      <c r="EW31" s="241"/>
      <c r="EX31" s="241"/>
      <c r="EY31" s="241"/>
      <c r="EZ31" s="241"/>
      <c r="FA31" s="241"/>
      <c r="FB31" s="241"/>
      <c r="FC31" s="241"/>
      <c r="FD31" s="241"/>
      <c r="FE31" s="241"/>
      <c r="FF31" s="241"/>
      <c r="FG31" s="241"/>
      <c r="FH31" s="241"/>
      <c r="FI31" s="241"/>
      <c r="FJ31" s="241"/>
      <c r="FK31" s="241"/>
      <c r="FL31" s="241"/>
      <c r="FM31" s="241"/>
      <c r="FN31" s="241"/>
      <c r="FO31" s="241"/>
      <c r="FP31" s="241"/>
      <c r="FQ31" s="241"/>
      <c r="FR31" s="241"/>
      <c r="FS31" s="241"/>
      <c r="FT31" s="241"/>
      <c r="FU31" s="241"/>
      <c r="FV31" s="241"/>
      <c r="FW31" s="241"/>
      <c r="FX31" s="241"/>
      <c r="FY31" s="241"/>
      <c r="FZ31" s="241"/>
      <c r="GA31" s="241"/>
      <c r="GB31" s="241"/>
      <c r="GC31" s="241"/>
      <c r="GD31" s="241"/>
      <c r="GE31" s="241"/>
      <c r="GF31" s="241"/>
      <c r="GG31" s="241"/>
      <c r="GH31" s="241"/>
      <c r="GI31" s="241"/>
      <c r="GJ31" s="241"/>
      <c r="GK31" s="241"/>
      <c r="GL31" s="241"/>
      <c r="GM31" s="241"/>
      <c r="GN31" s="241"/>
      <c r="GO31" s="241"/>
      <c r="GP31" s="241"/>
      <c r="GQ31" s="241"/>
      <c r="GR31" s="241"/>
      <c r="GS31" s="241"/>
      <c r="GT31" s="241"/>
      <c r="GU31" s="241"/>
      <c r="GV31" s="241"/>
      <c r="GW31" s="241"/>
      <c r="GX31" s="241"/>
      <c r="GY31" s="241"/>
      <c r="GZ31" s="241"/>
      <c r="HA31" s="241"/>
      <c r="HB31" s="241"/>
      <c r="HC31" s="241"/>
      <c r="HD31" s="241"/>
      <c r="HE31" s="241"/>
      <c r="HF31" s="241"/>
      <c r="HG31" s="241"/>
      <c r="HH31" s="241"/>
      <c r="HI31" s="241"/>
      <c r="HJ31" s="241"/>
      <c r="HK31" s="241"/>
      <c r="HL31" s="241"/>
      <c r="HM31" s="241"/>
      <c r="HN31" s="241"/>
      <c r="HO31" s="241"/>
      <c r="HP31" s="241"/>
      <c r="HQ31" s="241"/>
      <c r="HR31" s="241"/>
      <c r="HS31" s="241"/>
      <c r="HT31" s="241"/>
      <c r="HU31" s="241"/>
      <c r="HV31" s="241"/>
      <c r="HW31" s="241"/>
      <c r="HX31" s="241"/>
      <c r="HY31" s="241"/>
      <c r="HZ31" s="241"/>
      <c r="IA31" s="241"/>
      <c r="IB31" s="241"/>
      <c r="IC31" s="241"/>
      <c r="ID31" s="241"/>
      <c r="IE31" s="241"/>
      <c r="IF31" s="241"/>
      <c r="IG31" s="241"/>
      <c r="IH31" s="241"/>
      <c r="II31" s="241"/>
      <c r="IJ31" s="241"/>
      <c r="IK31" s="241"/>
      <c r="IL31" s="241"/>
      <c r="IM31" s="241"/>
      <c r="IN31" s="241"/>
      <c r="IO31" s="241"/>
      <c r="IP31" s="241"/>
      <c r="IQ31" s="241"/>
      <c r="IR31" s="241"/>
      <c r="IS31" s="241"/>
      <c r="IT31" s="241"/>
      <c r="IU31" s="241"/>
      <c r="IV31" s="241"/>
    </row>
    <row r="32" spans="1:256">
      <c r="A32" s="311"/>
      <c r="B32" s="311"/>
      <c r="C32" s="311"/>
      <c r="D32" s="311"/>
      <c r="E32" s="200"/>
      <c r="F32" s="200"/>
      <c r="G32" s="200"/>
      <c r="H32" s="200"/>
      <c r="I32" s="200"/>
      <c r="J32" s="200"/>
      <c r="K32" s="200"/>
      <c r="L32" s="200"/>
      <c r="M32" s="200"/>
      <c r="N32" s="200"/>
      <c r="O32" s="200"/>
      <c r="P32" s="200"/>
      <c r="Q32" s="200"/>
      <c r="R32" s="200"/>
      <c r="S32" s="200"/>
      <c r="T32" s="200"/>
      <c r="U32" s="200"/>
      <c r="V32" s="200"/>
      <c r="W32" s="200"/>
      <c r="X32" s="200"/>
      <c r="Y32" s="200"/>
      <c r="Z32" s="200"/>
      <c r="AA32" s="200"/>
      <c r="AB32" s="200"/>
      <c r="AC32" s="200"/>
      <c r="AD32" s="200"/>
      <c r="AE32" s="200"/>
      <c r="AF32" s="200"/>
      <c r="AG32" s="200"/>
      <c r="AH32" s="200"/>
      <c r="AI32" s="200"/>
      <c r="AJ32" s="200"/>
      <c r="AK32" s="200"/>
      <c r="AL32" s="200"/>
      <c r="AM32" s="200"/>
      <c r="AN32" s="200"/>
      <c r="AO32" s="200"/>
      <c r="AP32" s="200"/>
      <c r="AQ32" s="200"/>
      <c r="AR32" s="200"/>
      <c r="AS32" s="200"/>
      <c r="AT32" s="200"/>
      <c r="AU32" s="200"/>
      <c r="AV32" s="200"/>
      <c r="AW32" s="200"/>
      <c r="AX32" s="200"/>
      <c r="AY32" s="200"/>
      <c r="AZ32" s="200"/>
      <c r="BA32" s="200"/>
      <c r="BB32" s="200"/>
      <c r="BC32" s="200"/>
      <c r="BD32" s="200"/>
      <c r="BE32" s="200"/>
      <c r="BF32" s="200"/>
      <c r="BG32" s="200"/>
      <c r="BH32" s="200"/>
      <c r="BI32" s="200"/>
      <c r="BJ32" s="200"/>
      <c r="BK32" s="200"/>
      <c r="BL32" s="200"/>
      <c r="BM32" s="200"/>
      <c r="BN32" s="200"/>
      <c r="BO32" s="200"/>
      <c r="BP32" s="200"/>
      <c r="BQ32" s="200"/>
      <c r="BR32" s="200"/>
      <c r="BS32" s="200"/>
      <c r="BT32" s="200"/>
      <c r="BU32" s="200"/>
      <c r="BV32" s="200"/>
      <c r="BW32" s="200"/>
      <c r="BX32" s="200"/>
      <c r="BY32" s="200"/>
      <c r="BZ32" s="200"/>
      <c r="CA32" s="200"/>
      <c r="CB32" s="200"/>
      <c r="CC32" s="200"/>
      <c r="CD32" s="200"/>
      <c r="CE32" s="200"/>
      <c r="CF32" s="200"/>
      <c r="CG32" s="200"/>
      <c r="CH32" s="200"/>
      <c r="CI32" s="200"/>
      <c r="CJ32" s="200"/>
      <c r="CK32" s="200"/>
      <c r="CL32" s="200"/>
      <c r="CM32" s="200"/>
      <c r="CN32" s="200"/>
      <c r="CO32" s="200"/>
      <c r="CP32" s="200"/>
      <c r="CQ32" s="200"/>
      <c r="CR32" s="200"/>
      <c r="CS32" s="200"/>
      <c r="CT32" s="200"/>
      <c r="CU32" s="200"/>
      <c r="CV32" s="200"/>
      <c r="CW32" s="200"/>
      <c r="CX32" s="200"/>
      <c r="CY32" s="200"/>
      <c r="CZ32" s="200"/>
      <c r="DA32" s="200"/>
      <c r="DB32" s="200"/>
      <c r="DC32" s="200"/>
      <c r="DD32" s="200"/>
      <c r="DE32" s="200"/>
      <c r="DF32" s="200"/>
      <c r="DG32" s="200"/>
      <c r="DH32" s="200"/>
      <c r="DI32" s="200"/>
      <c r="DJ32" s="200"/>
      <c r="DK32" s="200"/>
      <c r="DL32" s="200"/>
      <c r="DM32" s="200"/>
      <c r="DN32" s="200"/>
      <c r="DO32" s="200"/>
      <c r="DP32" s="200"/>
      <c r="DQ32" s="200"/>
      <c r="DR32" s="200"/>
      <c r="DS32" s="200"/>
      <c r="DT32" s="200"/>
      <c r="DU32" s="200"/>
      <c r="DV32" s="200"/>
      <c r="DW32" s="200"/>
      <c r="DX32" s="200"/>
      <c r="DY32" s="200"/>
      <c r="DZ32" s="200"/>
      <c r="EA32" s="200"/>
      <c r="EB32" s="200"/>
      <c r="EC32" s="200"/>
      <c r="ED32" s="200"/>
      <c r="EE32" s="200"/>
      <c r="EF32" s="200"/>
      <c r="EG32" s="200"/>
      <c r="EH32" s="200"/>
      <c r="EI32" s="200"/>
      <c r="EJ32" s="200"/>
      <c r="EK32" s="200"/>
      <c r="EL32" s="200"/>
      <c r="EM32" s="200"/>
      <c r="EN32" s="200"/>
      <c r="EO32" s="200"/>
      <c r="EP32" s="200"/>
      <c r="EQ32" s="200"/>
      <c r="ER32" s="200"/>
      <c r="ES32" s="200"/>
      <c r="ET32" s="200"/>
      <c r="EU32" s="200"/>
      <c r="EV32" s="200"/>
      <c r="EW32" s="200"/>
      <c r="EX32" s="200"/>
      <c r="EY32" s="200"/>
      <c r="EZ32" s="200"/>
      <c r="FA32" s="200"/>
      <c r="FB32" s="200"/>
      <c r="FC32" s="200"/>
      <c r="FD32" s="200"/>
      <c r="FE32" s="200"/>
      <c r="FF32" s="200"/>
      <c r="FG32" s="200"/>
      <c r="FH32" s="200"/>
      <c r="FI32" s="200"/>
      <c r="FJ32" s="200"/>
      <c r="FK32" s="200"/>
      <c r="FL32" s="200"/>
      <c r="FM32" s="200"/>
      <c r="FN32" s="200"/>
      <c r="FO32" s="200"/>
      <c r="FP32" s="200"/>
      <c r="FQ32" s="200"/>
      <c r="FR32" s="200"/>
      <c r="FS32" s="200"/>
      <c r="FT32" s="200"/>
      <c r="FU32" s="200"/>
      <c r="FV32" s="200"/>
      <c r="FW32" s="200"/>
      <c r="FX32" s="200"/>
      <c r="FY32" s="200"/>
      <c r="FZ32" s="200"/>
      <c r="GA32" s="200"/>
      <c r="GB32" s="200"/>
      <c r="GC32" s="200"/>
      <c r="GD32" s="200"/>
      <c r="GE32" s="200"/>
      <c r="GF32" s="200"/>
      <c r="GG32" s="200"/>
      <c r="GH32" s="200"/>
      <c r="GI32" s="200"/>
      <c r="GJ32" s="200"/>
      <c r="GK32" s="200"/>
      <c r="GL32" s="200"/>
      <c r="GM32" s="200"/>
      <c r="GN32" s="200"/>
      <c r="GO32" s="200"/>
      <c r="GP32" s="200"/>
      <c r="GQ32" s="200"/>
      <c r="GR32" s="200"/>
      <c r="GS32" s="200"/>
      <c r="GT32" s="200"/>
      <c r="GU32" s="200"/>
      <c r="GV32" s="200"/>
      <c r="GW32" s="200"/>
      <c r="GX32" s="200"/>
      <c r="GY32" s="200"/>
      <c r="GZ32" s="200"/>
      <c r="HA32" s="200"/>
      <c r="HB32" s="200"/>
      <c r="HC32" s="200"/>
      <c r="HD32" s="200"/>
      <c r="HE32" s="200"/>
      <c r="HF32" s="200"/>
      <c r="HG32" s="200"/>
      <c r="HH32" s="200"/>
      <c r="HI32" s="200"/>
      <c r="HJ32" s="200"/>
      <c r="HK32" s="200"/>
      <c r="HL32" s="200"/>
      <c r="HM32" s="200"/>
      <c r="HN32" s="200"/>
      <c r="HO32" s="200"/>
      <c r="HP32" s="200"/>
      <c r="HQ32" s="200"/>
      <c r="HR32" s="200"/>
      <c r="HS32" s="200"/>
      <c r="HT32" s="200"/>
      <c r="HU32" s="200"/>
      <c r="HV32" s="200"/>
      <c r="HW32" s="200"/>
      <c r="HX32" s="200"/>
      <c r="HY32" s="200"/>
      <c r="HZ32" s="200"/>
      <c r="IA32" s="200"/>
      <c r="IB32" s="200"/>
      <c r="IC32" s="200"/>
      <c r="ID32" s="200"/>
      <c r="IE32" s="200"/>
      <c r="IF32" s="200"/>
      <c r="IG32" s="200"/>
      <c r="IH32" s="200"/>
      <c r="II32" s="200"/>
      <c r="IJ32" s="200"/>
      <c r="IK32" s="200"/>
      <c r="IL32" s="200"/>
      <c r="IM32" s="200"/>
      <c r="IN32" s="200"/>
      <c r="IO32" s="200"/>
      <c r="IP32" s="200"/>
      <c r="IQ32" s="200"/>
      <c r="IR32" s="200"/>
      <c r="IS32" s="200"/>
      <c r="IT32" s="200"/>
      <c r="IU32" s="200"/>
      <c r="IV32" s="200"/>
    </row>
  </sheetData>
  <mergeCells count="21">
    <mergeCell ref="E28:E29"/>
    <mergeCell ref="B30:C30"/>
    <mergeCell ref="A32:D32"/>
    <mergeCell ref="D3:E3"/>
    <mergeCell ref="A2:E2"/>
    <mergeCell ref="E24:E26"/>
    <mergeCell ref="B23:C23"/>
    <mergeCell ref="B27:C27"/>
    <mergeCell ref="A1:E1"/>
    <mergeCell ref="E8:E9"/>
    <mergeCell ref="E12:E13"/>
    <mergeCell ref="E17:E18"/>
    <mergeCell ref="E20:E21"/>
    <mergeCell ref="B11:C11"/>
    <mergeCell ref="B14:C14"/>
    <mergeCell ref="B16:C16"/>
    <mergeCell ref="B19:C19"/>
    <mergeCell ref="B5:C5"/>
    <mergeCell ref="B6:C6"/>
    <mergeCell ref="B7:C7"/>
    <mergeCell ref="B10:C10"/>
  </mergeCells>
  <pageMargins left="0.7" right="0.17" top="0.25" bottom="0.42" header="0.16" footer="0.14000000000000001"/>
  <pageSetup paperSize="9" firstPageNumber="26" orientation="landscape" useFirstPageNumber="1"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93"/>
  <sheetViews>
    <sheetView tabSelected="1" topLeftCell="C80" zoomScale="70" zoomScaleNormal="70" workbookViewId="0">
      <selection activeCell="R89" sqref="R89:R93"/>
    </sheetView>
  </sheetViews>
  <sheetFormatPr defaultColWidth="6.75" defaultRowHeight="15.75"/>
  <cols>
    <col min="1" max="1" width="7.875" style="179" customWidth="1"/>
    <col min="2" max="2" width="16" style="231" customWidth="1"/>
    <col min="3" max="3" width="13.625" style="179" customWidth="1"/>
    <col min="4" max="4" width="12.375" style="224" customWidth="1"/>
    <col min="5" max="5" width="14.75" style="224" customWidth="1"/>
    <col min="6" max="6" width="31.375" style="231" customWidth="1"/>
    <col min="7" max="8" width="21.125" style="231" customWidth="1"/>
    <col min="9" max="9" width="18.375" style="232" customWidth="1"/>
    <col min="10" max="10" width="18.75" style="231" customWidth="1"/>
    <col min="11" max="12" width="18.25" style="231" customWidth="1"/>
    <col min="13" max="13" width="18.375" style="232" customWidth="1"/>
    <col min="14" max="15" width="18.25" style="232" customWidth="1"/>
    <col min="16" max="16" width="17.875" style="232" customWidth="1"/>
    <col min="17" max="17" width="18.25" style="232" customWidth="1"/>
    <col min="18" max="18" width="48.875" style="233" customWidth="1"/>
    <col min="19" max="199" width="6.75" style="224"/>
    <col min="200" max="200" width="7.875" style="224" customWidth="1"/>
    <col min="201" max="201" width="16" style="224" customWidth="1"/>
    <col min="202" max="202" width="13.625" style="224" customWidth="1"/>
    <col min="203" max="203" width="12.375" style="224" customWidth="1"/>
    <col min="204" max="204" width="14.75" style="224" customWidth="1"/>
    <col min="205" max="205" width="31.375" style="224" customWidth="1"/>
    <col min="206" max="207" width="21.125" style="224" customWidth="1"/>
    <col min="208" max="208" width="18.375" style="224" customWidth="1"/>
    <col min="209" max="209" width="18.75" style="224" customWidth="1"/>
    <col min="210" max="211" width="18.25" style="224" customWidth="1"/>
    <col min="212" max="212" width="18.375" style="224" customWidth="1"/>
    <col min="213" max="214" width="18.25" style="224" customWidth="1"/>
    <col min="215" max="215" width="17.875" style="224" customWidth="1"/>
    <col min="216" max="216" width="18.25" style="224" customWidth="1"/>
    <col min="217" max="217" width="48.875" style="224" customWidth="1"/>
    <col min="218" max="218" width="38.125" style="224" customWidth="1"/>
    <col min="219" max="219" width="6.75" style="224"/>
    <col min="220" max="220" width="10.875" style="224" customWidth="1"/>
    <col min="221" max="455" width="6.75" style="224"/>
    <col min="456" max="456" width="7.875" style="224" customWidth="1"/>
    <col min="457" max="457" width="16" style="224" customWidth="1"/>
    <col min="458" max="458" width="13.625" style="224" customWidth="1"/>
    <col min="459" max="459" width="12.375" style="224" customWidth="1"/>
    <col min="460" max="460" width="14.75" style="224" customWidth="1"/>
    <col min="461" max="461" width="31.375" style="224" customWidth="1"/>
    <col min="462" max="463" width="21.125" style="224" customWidth="1"/>
    <col min="464" max="464" width="18.375" style="224" customWidth="1"/>
    <col min="465" max="465" width="18.75" style="224" customWidth="1"/>
    <col min="466" max="467" width="18.25" style="224" customWidth="1"/>
    <col min="468" max="468" width="18.375" style="224" customWidth="1"/>
    <col min="469" max="470" width="18.25" style="224" customWidth="1"/>
    <col min="471" max="471" width="17.875" style="224" customWidth="1"/>
    <col min="472" max="472" width="18.25" style="224" customWidth="1"/>
    <col min="473" max="473" width="48.875" style="224" customWidth="1"/>
    <col min="474" max="474" width="38.125" style="224" customWidth="1"/>
    <col min="475" max="475" width="6.75" style="224"/>
    <col min="476" max="476" width="10.875" style="224" customWidth="1"/>
    <col min="477" max="711" width="6.75" style="224"/>
    <col min="712" max="712" width="7.875" style="224" customWidth="1"/>
    <col min="713" max="713" width="16" style="224" customWidth="1"/>
    <col min="714" max="714" width="13.625" style="224" customWidth="1"/>
    <col min="715" max="715" width="12.375" style="224" customWidth="1"/>
    <col min="716" max="716" width="14.75" style="224" customWidth="1"/>
    <col min="717" max="717" width="31.375" style="224" customWidth="1"/>
    <col min="718" max="719" width="21.125" style="224" customWidth="1"/>
    <col min="720" max="720" width="18.375" style="224" customWidth="1"/>
    <col min="721" max="721" width="18.75" style="224" customWidth="1"/>
    <col min="722" max="723" width="18.25" style="224" customWidth="1"/>
    <col min="724" max="724" width="18.375" style="224" customWidth="1"/>
    <col min="725" max="726" width="18.25" style="224" customWidth="1"/>
    <col min="727" max="727" width="17.875" style="224" customWidth="1"/>
    <col min="728" max="728" width="18.25" style="224" customWidth="1"/>
    <col min="729" max="729" width="48.875" style="224" customWidth="1"/>
    <col min="730" max="730" width="38.125" style="224" customWidth="1"/>
    <col min="731" max="731" width="6.75" style="224"/>
    <col min="732" max="732" width="10.875" style="224" customWidth="1"/>
    <col min="733" max="967" width="6.75" style="224"/>
    <col min="968" max="968" width="7.875" style="224" customWidth="1"/>
    <col min="969" max="969" width="16" style="224" customWidth="1"/>
    <col min="970" max="970" width="13.625" style="224" customWidth="1"/>
    <col min="971" max="971" width="12.375" style="224" customWidth="1"/>
    <col min="972" max="972" width="14.75" style="224" customWidth="1"/>
    <col min="973" max="973" width="31.375" style="224" customWidth="1"/>
    <col min="974" max="975" width="21.125" style="224" customWidth="1"/>
    <col min="976" max="976" width="18.375" style="224" customWidth="1"/>
    <col min="977" max="977" width="18.75" style="224" customWidth="1"/>
    <col min="978" max="979" width="18.25" style="224" customWidth="1"/>
    <col min="980" max="980" width="18.375" style="224" customWidth="1"/>
    <col min="981" max="982" width="18.25" style="224" customWidth="1"/>
    <col min="983" max="983" width="17.875" style="224" customWidth="1"/>
    <col min="984" max="984" width="18.25" style="224" customWidth="1"/>
    <col min="985" max="985" width="48.875" style="224" customWidth="1"/>
    <col min="986" max="986" width="38.125" style="224" customWidth="1"/>
    <col min="987" max="987" width="6.75" style="224"/>
    <col min="988" max="988" width="10.875" style="224" customWidth="1"/>
    <col min="989" max="1223" width="6.75" style="224"/>
    <col min="1224" max="1224" width="7.875" style="224" customWidth="1"/>
    <col min="1225" max="1225" width="16" style="224" customWidth="1"/>
    <col min="1226" max="1226" width="13.625" style="224" customWidth="1"/>
    <col min="1227" max="1227" width="12.375" style="224" customWidth="1"/>
    <col min="1228" max="1228" width="14.75" style="224" customWidth="1"/>
    <col min="1229" max="1229" width="31.375" style="224" customWidth="1"/>
    <col min="1230" max="1231" width="21.125" style="224" customWidth="1"/>
    <col min="1232" max="1232" width="18.375" style="224" customWidth="1"/>
    <col min="1233" max="1233" width="18.75" style="224" customWidth="1"/>
    <col min="1234" max="1235" width="18.25" style="224" customWidth="1"/>
    <col min="1236" max="1236" width="18.375" style="224" customWidth="1"/>
    <col min="1237" max="1238" width="18.25" style="224" customWidth="1"/>
    <col min="1239" max="1239" width="17.875" style="224" customWidth="1"/>
    <col min="1240" max="1240" width="18.25" style="224" customWidth="1"/>
    <col min="1241" max="1241" width="48.875" style="224" customWidth="1"/>
    <col min="1242" max="1242" width="38.125" style="224" customWidth="1"/>
    <col min="1243" max="1243" width="6.75" style="224"/>
    <col min="1244" max="1244" width="10.875" style="224" customWidth="1"/>
    <col min="1245" max="1479" width="6.75" style="224"/>
    <col min="1480" max="1480" width="7.875" style="224" customWidth="1"/>
    <col min="1481" max="1481" width="16" style="224" customWidth="1"/>
    <col min="1482" max="1482" width="13.625" style="224" customWidth="1"/>
    <col min="1483" max="1483" width="12.375" style="224" customWidth="1"/>
    <col min="1484" max="1484" width="14.75" style="224" customWidth="1"/>
    <col min="1485" max="1485" width="31.375" style="224" customWidth="1"/>
    <col min="1486" max="1487" width="21.125" style="224" customWidth="1"/>
    <col min="1488" max="1488" width="18.375" style="224" customWidth="1"/>
    <col min="1489" max="1489" width="18.75" style="224" customWidth="1"/>
    <col min="1490" max="1491" width="18.25" style="224" customWidth="1"/>
    <col min="1492" max="1492" width="18.375" style="224" customWidth="1"/>
    <col min="1493" max="1494" width="18.25" style="224" customWidth="1"/>
    <col min="1495" max="1495" width="17.875" style="224" customWidth="1"/>
    <col min="1496" max="1496" width="18.25" style="224" customWidth="1"/>
    <col min="1497" max="1497" width="48.875" style="224" customWidth="1"/>
    <col min="1498" max="1498" width="38.125" style="224" customWidth="1"/>
    <col min="1499" max="1499" width="6.75" style="224"/>
    <col min="1500" max="1500" width="10.875" style="224" customWidth="1"/>
    <col min="1501" max="1735" width="6.75" style="224"/>
    <col min="1736" max="1736" width="7.875" style="224" customWidth="1"/>
    <col min="1737" max="1737" width="16" style="224" customWidth="1"/>
    <col min="1738" max="1738" width="13.625" style="224" customWidth="1"/>
    <col min="1739" max="1739" width="12.375" style="224" customWidth="1"/>
    <col min="1740" max="1740" width="14.75" style="224" customWidth="1"/>
    <col min="1741" max="1741" width="31.375" style="224" customWidth="1"/>
    <col min="1742" max="1743" width="21.125" style="224" customWidth="1"/>
    <col min="1744" max="1744" width="18.375" style="224" customWidth="1"/>
    <col min="1745" max="1745" width="18.75" style="224" customWidth="1"/>
    <col min="1746" max="1747" width="18.25" style="224" customWidth="1"/>
    <col min="1748" max="1748" width="18.375" style="224" customWidth="1"/>
    <col min="1749" max="1750" width="18.25" style="224" customWidth="1"/>
    <col min="1751" max="1751" width="17.875" style="224" customWidth="1"/>
    <col min="1752" max="1752" width="18.25" style="224" customWidth="1"/>
    <col min="1753" max="1753" width="48.875" style="224" customWidth="1"/>
    <col min="1754" max="1754" width="38.125" style="224" customWidth="1"/>
    <col min="1755" max="1755" width="6.75" style="224"/>
    <col min="1756" max="1756" width="10.875" style="224" customWidth="1"/>
    <col min="1757" max="1991" width="6.75" style="224"/>
    <col min="1992" max="1992" width="7.875" style="224" customWidth="1"/>
    <col min="1993" max="1993" width="16" style="224" customWidth="1"/>
    <col min="1994" max="1994" width="13.625" style="224" customWidth="1"/>
    <col min="1995" max="1995" width="12.375" style="224" customWidth="1"/>
    <col min="1996" max="1996" width="14.75" style="224" customWidth="1"/>
    <col min="1997" max="1997" width="31.375" style="224" customWidth="1"/>
    <col min="1998" max="1999" width="21.125" style="224" customWidth="1"/>
    <col min="2000" max="2000" width="18.375" style="224" customWidth="1"/>
    <col min="2001" max="2001" width="18.75" style="224" customWidth="1"/>
    <col min="2002" max="2003" width="18.25" style="224" customWidth="1"/>
    <col min="2004" max="2004" width="18.375" style="224" customWidth="1"/>
    <col min="2005" max="2006" width="18.25" style="224" customWidth="1"/>
    <col min="2007" max="2007" width="17.875" style="224" customWidth="1"/>
    <col min="2008" max="2008" width="18.25" style="224" customWidth="1"/>
    <col min="2009" max="2009" width="48.875" style="224" customWidth="1"/>
    <col min="2010" max="2010" width="38.125" style="224" customWidth="1"/>
    <col min="2011" max="2011" width="6.75" style="224"/>
    <col min="2012" max="2012" width="10.875" style="224" customWidth="1"/>
    <col min="2013" max="2247" width="6.75" style="224"/>
    <col min="2248" max="2248" width="7.875" style="224" customWidth="1"/>
    <col min="2249" max="2249" width="16" style="224" customWidth="1"/>
    <col min="2250" max="2250" width="13.625" style="224" customWidth="1"/>
    <col min="2251" max="2251" width="12.375" style="224" customWidth="1"/>
    <col min="2252" max="2252" width="14.75" style="224" customWidth="1"/>
    <col min="2253" max="2253" width="31.375" style="224" customWidth="1"/>
    <col min="2254" max="2255" width="21.125" style="224" customWidth="1"/>
    <col min="2256" max="2256" width="18.375" style="224" customWidth="1"/>
    <col min="2257" max="2257" width="18.75" style="224" customWidth="1"/>
    <col min="2258" max="2259" width="18.25" style="224" customWidth="1"/>
    <col min="2260" max="2260" width="18.375" style="224" customWidth="1"/>
    <col min="2261" max="2262" width="18.25" style="224" customWidth="1"/>
    <col min="2263" max="2263" width="17.875" style="224" customWidth="1"/>
    <col min="2264" max="2264" width="18.25" style="224" customWidth="1"/>
    <col min="2265" max="2265" width="48.875" style="224" customWidth="1"/>
    <col min="2266" max="2266" width="38.125" style="224" customWidth="1"/>
    <col min="2267" max="2267" width="6.75" style="224"/>
    <col min="2268" max="2268" width="10.875" style="224" customWidth="1"/>
    <col min="2269" max="2503" width="6.75" style="224"/>
    <col min="2504" max="2504" width="7.875" style="224" customWidth="1"/>
    <col min="2505" max="2505" width="16" style="224" customWidth="1"/>
    <col min="2506" max="2506" width="13.625" style="224" customWidth="1"/>
    <col min="2507" max="2507" width="12.375" style="224" customWidth="1"/>
    <col min="2508" max="2508" width="14.75" style="224" customWidth="1"/>
    <col min="2509" max="2509" width="31.375" style="224" customWidth="1"/>
    <col min="2510" max="2511" width="21.125" style="224" customWidth="1"/>
    <col min="2512" max="2512" width="18.375" style="224" customWidth="1"/>
    <col min="2513" max="2513" width="18.75" style="224" customWidth="1"/>
    <col min="2514" max="2515" width="18.25" style="224" customWidth="1"/>
    <col min="2516" max="2516" width="18.375" style="224" customWidth="1"/>
    <col min="2517" max="2518" width="18.25" style="224" customWidth="1"/>
    <col min="2519" max="2519" width="17.875" style="224" customWidth="1"/>
    <col min="2520" max="2520" width="18.25" style="224" customWidth="1"/>
    <col min="2521" max="2521" width="48.875" style="224" customWidth="1"/>
    <col min="2522" max="2522" width="38.125" style="224" customWidth="1"/>
    <col min="2523" max="2523" width="6.75" style="224"/>
    <col min="2524" max="2524" width="10.875" style="224" customWidth="1"/>
    <col min="2525" max="2759" width="6.75" style="224"/>
    <col min="2760" max="2760" width="7.875" style="224" customWidth="1"/>
    <col min="2761" max="2761" width="16" style="224" customWidth="1"/>
    <col min="2762" max="2762" width="13.625" style="224" customWidth="1"/>
    <col min="2763" max="2763" width="12.375" style="224" customWidth="1"/>
    <col min="2764" max="2764" width="14.75" style="224" customWidth="1"/>
    <col min="2765" max="2765" width="31.375" style="224" customWidth="1"/>
    <col min="2766" max="2767" width="21.125" style="224" customWidth="1"/>
    <col min="2768" max="2768" width="18.375" style="224" customWidth="1"/>
    <col min="2769" max="2769" width="18.75" style="224" customWidth="1"/>
    <col min="2770" max="2771" width="18.25" style="224" customWidth="1"/>
    <col min="2772" max="2772" width="18.375" style="224" customWidth="1"/>
    <col min="2773" max="2774" width="18.25" style="224" customWidth="1"/>
    <col min="2775" max="2775" width="17.875" style="224" customWidth="1"/>
    <col min="2776" max="2776" width="18.25" style="224" customWidth="1"/>
    <col min="2777" max="2777" width="48.875" style="224" customWidth="1"/>
    <col min="2778" max="2778" width="38.125" style="224" customWidth="1"/>
    <col min="2779" max="2779" width="6.75" style="224"/>
    <col min="2780" max="2780" width="10.875" style="224" customWidth="1"/>
    <col min="2781" max="3015" width="6.75" style="224"/>
    <col min="3016" max="3016" width="7.875" style="224" customWidth="1"/>
    <col min="3017" max="3017" width="16" style="224" customWidth="1"/>
    <col min="3018" max="3018" width="13.625" style="224" customWidth="1"/>
    <col min="3019" max="3019" width="12.375" style="224" customWidth="1"/>
    <col min="3020" max="3020" width="14.75" style="224" customWidth="1"/>
    <col min="3021" max="3021" width="31.375" style="224" customWidth="1"/>
    <col min="3022" max="3023" width="21.125" style="224" customWidth="1"/>
    <col min="3024" max="3024" width="18.375" style="224" customWidth="1"/>
    <col min="3025" max="3025" width="18.75" style="224" customWidth="1"/>
    <col min="3026" max="3027" width="18.25" style="224" customWidth="1"/>
    <col min="3028" max="3028" width="18.375" style="224" customWidth="1"/>
    <col min="3029" max="3030" width="18.25" style="224" customWidth="1"/>
    <col min="3031" max="3031" width="17.875" style="224" customWidth="1"/>
    <col min="3032" max="3032" width="18.25" style="224" customWidth="1"/>
    <col min="3033" max="3033" width="48.875" style="224" customWidth="1"/>
    <col min="3034" max="3034" width="38.125" style="224" customWidth="1"/>
    <col min="3035" max="3035" width="6.75" style="224"/>
    <col min="3036" max="3036" width="10.875" style="224" customWidth="1"/>
    <col min="3037" max="3271" width="6.75" style="224"/>
    <col min="3272" max="3272" width="7.875" style="224" customWidth="1"/>
    <col min="3273" max="3273" width="16" style="224" customWidth="1"/>
    <col min="3274" max="3274" width="13.625" style="224" customWidth="1"/>
    <col min="3275" max="3275" width="12.375" style="224" customWidth="1"/>
    <col min="3276" max="3276" width="14.75" style="224" customWidth="1"/>
    <col min="3277" max="3277" width="31.375" style="224" customWidth="1"/>
    <col min="3278" max="3279" width="21.125" style="224" customWidth="1"/>
    <col min="3280" max="3280" width="18.375" style="224" customWidth="1"/>
    <col min="3281" max="3281" width="18.75" style="224" customWidth="1"/>
    <col min="3282" max="3283" width="18.25" style="224" customWidth="1"/>
    <col min="3284" max="3284" width="18.375" style="224" customWidth="1"/>
    <col min="3285" max="3286" width="18.25" style="224" customWidth="1"/>
    <col min="3287" max="3287" width="17.875" style="224" customWidth="1"/>
    <col min="3288" max="3288" width="18.25" style="224" customWidth="1"/>
    <col min="3289" max="3289" width="48.875" style="224" customWidth="1"/>
    <col min="3290" max="3290" width="38.125" style="224" customWidth="1"/>
    <col min="3291" max="3291" width="6.75" style="224"/>
    <col min="3292" max="3292" width="10.875" style="224" customWidth="1"/>
    <col min="3293" max="3527" width="6.75" style="224"/>
    <col min="3528" max="3528" width="7.875" style="224" customWidth="1"/>
    <col min="3529" max="3529" width="16" style="224" customWidth="1"/>
    <col min="3530" max="3530" width="13.625" style="224" customWidth="1"/>
    <col min="3531" max="3531" width="12.375" style="224" customWidth="1"/>
    <col min="3532" max="3532" width="14.75" style="224" customWidth="1"/>
    <col min="3533" max="3533" width="31.375" style="224" customWidth="1"/>
    <col min="3534" max="3535" width="21.125" style="224" customWidth="1"/>
    <col min="3536" max="3536" width="18.375" style="224" customWidth="1"/>
    <col min="3537" max="3537" width="18.75" style="224" customWidth="1"/>
    <col min="3538" max="3539" width="18.25" style="224" customWidth="1"/>
    <col min="3540" max="3540" width="18.375" style="224" customWidth="1"/>
    <col min="3541" max="3542" width="18.25" style="224" customWidth="1"/>
    <col min="3543" max="3543" width="17.875" style="224" customWidth="1"/>
    <col min="3544" max="3544" width="18.25" style="224" customWidth="1"/>
    <col min="3545" max="3545" width="48.875" style="224" customWidth="1"/>
    <col min="3546" max="3546" width="38.125" style="224" customWidth="1"/>
    <col min="3547" max="3547" width="6.75" style="224"/>
    <col min="3548" max="3548" width="10.875" style="224" customWidth="1"/>
    <col min="3549" max="3783" width="6.75" style="224"/>
    <col min="3784" max="3784" width="7.875" style="224" customWidth="1"/>
    <col min="3785" max="3785" width="16" style="224" customWidth="1"/>
    <col min="3786" max="3786" width="13.625" style="224" customWidth="1"/>
    <col min="3787" max="3787" width="12.375" style="224" customWidth="1"/>
    <col min="3788" max="3788" width="14.75" style="224" customWidth="1"/>
    <col min="3789" max="3789" width="31.375" style="224" customWidth="1"/>
    <col min="3790" max="3791" width="21.125" style="224" customWidth="1"/>
    <col min="3792" max="3792" width="18.375" style="224" customWidth="1"/>
    <col min="3793" max="3793" width="18.75" style="224" customWidth="1"/>
    <col min="3794" max="3795" width="18.25" style="224" customWidth="1"/>
    <col min="3796" max="3796" width="18.375" style="224" customWidth="1"/>
    <col min="3797" max="3798" width="18.25" style="224" customWidth="1"/>
    <col min="3799" max="3799" width="17.875" style="224" customWidth="1"/>
    <col min="3800" max="3800" width="18.25" style="224" customWidth="1"/>
    <col min="3801" max="3801" width="48.875" style="224" customWidth="1"/>
    <col min="3802" max="3802" width="38.125" style="224" customWidth="1"/>
    <col min="3803" max="3803" width="6.75" style="224"/>
    <col min="3804" max="3804" width="10.875" style="224" customWidth="1"/>
    <col min="3805" max="4039" width="6.75" style="224"/>
    <col min="4040" max="4040" width="7.875" style="224" customWidth="1"/>
    <col min="4041" max="4041" width="16" style="224" customWidth="1"/>
    <col min="4042" max="4042" width="13.625" style="224" customWidth="1"/>
    <col min="4043" max="4043" width="12.375" style="224" customWidth="1"/>
    <col min="4044" max="4044" width="14.75" style="224" customWidth="1"/>
    <col min="4045" max="4045" width="31.375" style="224" customWidth="1"/>
    <col min="4046" max="4047" width="21.125" style="224" customWidth="1"/>
    <col min="4048" max="4048" width="18.375" style="224" customWidth="1"/>
    <col min="4049" max="4049" width="18.75" style="224" customWidth="1"/>
    <col min="4050" max="4051" width="18.25" style="224" customWidth="1"/>
    <col min="4052" max="4052" width="18.375" style="224" customWidth="1"/>
    <col min="4053" max="4054" width="18.25" style="224" customWidth="1"/>
    <col min="4055" max="4055" width="17.875" style="224" customWidth="1"/>
    <col min="4056" max="4056" width="18.25" style="224" customWidth="1"/>
    <col min="4057" max="4057" width="48.875" style="224" customWidth="1"/>
    <col min="4058" max="4058" width="38.125" style="224" customWidth="1"/>
    <col min="4059" max="4059" width="6.75" style="224"/>
    <col min="4060" max="4060" width="10.875" style="224" customWidth="1"/>
    <col min="4061" max="4295" width="6.75" style="224"/>
    <col min="4296" max="4296" width="7.875" style="224" customWidth="1"/>
    <col min="4297" max="4297" width="16" style="224" customWidth="1"/>
    <col min="4298" max="4298" width="13.625" style="224" customWidth="1"/>
    <col min="4299" max="4299" width="12.375" style="224" customWidth="1"/>
    <col min="4300" max="4300" width="14.75" style="224" customWidth="1"/>
    <col min="4301" max="4301" width="31.375" style="224" customWidth="1"/>
    <col min="4302" max="4303" width="21.125" style="224" customWidth="1"/>
    <col min="4304" max="4304" width="18.375" style="224" customWidth="1"/>
    <col min="4305" max="4305" width="18.75" style="224" customWidth="1"/>
    <col min="4306" max="4307" width="18.25" style="224" customWidth="1"/>
    <col min="4308" max="4308" width="18.375" style="224" customWidth="1"/>
    <col min="4309" max="4310" width="18.25" style="224" customWidth="1"/>
    <col min="4311" max="4311" width="17.875" style="224" customWidth="1"/>
    <col min="4312" max="4312" width="18.25" style="224" customWidth="1"/>
    <col min="4313" max="4313" width="48.875" style="224" customWidth="1"/>
    <col min="4314" max="4314" width="38.125" style="224" customWidth="1"/>
    <col min="4315" max="4315" width="6.75" style="224"/>
    <col min="4316" max="4316" width="10.875" style="224" customWidth="1"/>
    <col min="4317" max="4551" width="6.75" style="224"/>
    <col min="4552" max="4552" width="7.875" style="224" customWidth="1"/>
    <col min="4553" max="4553" width="16" style="224" customWidth="1"/>
    <col min="4554" max="4554" width="13.625" style="224" customWidth="1"/>
    <col min="4555" max="4555" width="12.375" style="224" customWidth="1"/>
    <col min="4556" max="4556" width="14.75" style="224" customWidth="1"/>
    <col min="4557" max="4557" width="31.375" style="224" customWidth="1"/>
    <col min="4558" max="4559" width="21.125" style="224" customWidth="1"/>
    <col min="4560" max="4560" width="18.375" style="224" customWidth="1"/>
    <col min="4561" max="4561" width="18.75" style="224" customWidth="1"/>
    <col min="4562" max="4563" width="18.25" style="224" customWidth="1"/>
    <col min="4564" max="4564" width="18.375" style="224" customWidth="1"/>
    <col min="4565" max="4566" width="18.25" style="224" customWidth="1"/>
    <col min="4567" max="4567" width="17.875" style="224" customWidth="1"/>
    <col min="4568" max="4568" width="18.25" style="224" customWidth="1"/>
    <col min="4569" max="4569" width="48.875" style="224" customWidth="1"/>
    <col min="4570" max="4570" width="38.125" style="224" customWidth="1"/>
    <col min="4571" max="4571" width="6.75" style="224"/>
    <col min="4572" max="4572" width="10.875" style="224" customWidth="1"/>
    <col min="4573" max="4807" width="6.75" style="224"/>
    <col min="4808" max="4808" width="7.875" style="224" customWidth="1"/>
    <col min="4809" max="4809" width="16" style="224" customWidth="1"/>
    <col min="4810" max="4810" width="13.625" style="224" customWidth="1"/>
    <col min="4811" max="4811" width="12.375" style="224" customWidth="1"/>
    <col min="4812" max="4812" width="14.75" style="224" customWidth="1"/>
    <col min="4813" max="4813" width="31.375" style="224" customWidth="1"/>
    <col min="4814" max="4815" width="21.125" style="224" customWidth="1"/>
    <col min="4816" max="4816" width="18.375" style="224" customWidth="1"/>
    <col min="4817" max="4817" width="18.75" style="224" customWidth="1"/>
    <col min="4818" max="4819" width="18.25" style="224" customWidth="1"/>
    <col min="4820" max="4820" width="18.375" style="224" customWidth="1"/>
    <col min="4821" max="4822" width="18.25" style="224" customWidth="1"/>
    <col min="4823" max="4823" width="17.875" style="224" customWidth="1"/>
    <col min="4824" max="4824" width="18.25" style="224" customWidth="1"/>
    <col min="4825" max="4825" width="48.875" style="224" customWidth="1"/>
    <col min="4826" max="4826" width="38.125" style="224" customWidth="1"/>
    <col min="4827" max="4827" width="6.75" style="224"/>
    <col min="4828" max="4828" width="10.875" style="224" customWidth="1"/>
    <col min="4829" max="5063" width="6.75" style="224"/>
    <col min="5064" max="5064" width="7.875" style="224" customWidth="1"/>
    <col min="5065" max="5065" width="16" style="224" customWidth="1"/>
    <col min="5066" max="5066" width="13.625" style="224" customWidth="1"/>
    <col min="5067" max="5067" width="12.375" style="224" customWidth="1"/>
    <col min="5068" max="5068" width="14.75" style="224" customWidth="1"/>
    <col min="5069" max="5069" width="31.375" style="224" customWidth="1"/>
    <col min="5070" max="5071" width="21.125" style="224" customWidth="1"/>
    <col min="5072" max="5072" width="18.375" style="224" customWidth="1"/>
    <col min="5073" max="5073" width="18.75" style="224" customWidth="1"/>
    <col min="5074" max="5075" width="18.25" style="224" customWidth="1"/>
    <col min="5076" max="5076" width="18.375" style="224" customWidth="1"/>
    <col min="5077" max="5078" width="18.25" style="224" customWidth="1"/>
    <col min="5079" max="5079" width="17.875" style="224" customWidth="1"/>
    <col min="5080" max="5080" width="18.25" style="224" customWidth="1"/>
    <col min="5081" max="5081" width="48.875" style="224" customWidth="1"/>
    <col min="5082" max="5082" width="38.125" style="224" customWidth="1"/>
    <col min="5083" max="5083" width="6.75" style="224"/>
    <col min="5084" max="5084" width="10.875" style="224" customWidth="1"/>
    <col min="5085" max="5319" width="6.75" style="224"/>
    <col min="5320" max="5320" width="7.875" style="224" customWidth="1"/>
    <col min="5321" max="5321" width="16" style="224" customWidth="1"/>
    <col min="5322" max="5322" width="13.625" style="224" customWidth="1"/>
    <col min="5323" max="5323" width="12.375" style="224" customWidth="1"/>
    <col min="5324" max="5324" width="14.75" style="224" customWidth="1"/>
    <col min="5325" max="5325" width="31.375" style="224" customWidth="1"/>
    <col min="5326" max="5327" width="21.125" style="224" customWidth="1"/>
    <col min="5328" max="5328" width="18.375" style="224" customWidth="1"/>
    <col min="5329" max="5329" width="18.75" style="224" customWidth="1"/>
    <col min="5330" max="5331" width="18.25" style="224" customWidth="1"/>
    <col min="5332" max="5332" width="18.375" style="224" customWidth="1"/>
    <col min="5333" max="5334" width="18.25" style="224" customWidth="1"/>
    <col min="5335" max="5335" width="17.875" style="224" customWidth="1"/>
    <col min="5336" max="5336" width="18.25" style="224" customWidth="1"/>
    <col min="5337" max="5337" width="48.875" style="224" customWidth="1"/>
    <col min="5338" max="5338" width="38.125" style="224" customWidth="1"/>
    <col min="5339" max="5339" width="6.75" style="224"/>
    <col min="5340" max="5340" width="10.875" style="224" customWidth="1"/>
    <col min="5341" max="5575" width="6.75" style="224"/>
    <col min="5576" max="5576" width="7.875" style="224" customWidth="1"/>
    <col min="5577" max="5577" width="16" style="224" customWidth="1"/>
    <col min="5578" max="5578" width="13.625" style="224" customWidth="1"/>
    <col min="5579" max="5579" width="12.375" style="224" customWidth="1"/>
    <col min="5580" max="5580" width="14.75" style="224" customWidth="1"/>
    <col min="5581" max="5581" width="31.375" style="224" customWidth="1"/>
    <col min="5582" max="5583" width="21.125" style="224" customWidth="1"/>
    <col min="5584" max="5584" width="18.375" style="224" customWidth="1"/>
    <col min="5585" max="5585" width="18.75" style="224" customWidth="1"/>
    <col min="5586" max="5587" width="18.25" style="224" customWidth="1"/>
    <col min="5588" max="5588" width="18.375" style="224" customWidth="1"/>
    <col min="5589" max="5590" width="18.25" style="224" customWidth="1"/>
    <col min="5591" max="5591" width="17.875" style="224" customWidth="1"/>
    <col min="5592" max="5592" width="18.25" style="224" customWidth="1"/>
    <col min="5593" max="5593" width="48.875" style="224" customWidth="1"/>
    <col min="5594" max="5594" width="38.125" style="224" customWidth="1"/>
    <col min="5595" max="5595" width="6.75" style="224"/>
    <col min="5596" max="5596" width="10.875" style="224" customWidth="1"/>
    <col min="5597" max="5831" width="6.75" style="224"/>
    <col min="5832" max="5832" width="7.875" style="224" customWidth="1"/>
    <col min="5833" max="5833" width="16" style="224" customWidth="1"/>
    <col min="5834" max="5834" width="13.625" style="224" customWidth="1"/>
    <col min="5835" max="5835" width="12.375" style="224" customWidth="1"/>
    <col min="5836" max="5836" width="14.75" style="224" customWidth="1"/>
    <col min="5837" max="5837" width="31.375" style="224" customWidth="1"/>
    <col min="5838" max="5839" width="21.125" style="224" customWidth="1"/>
    <col min="5840" max="5840" width="18.375" style="224" customWidth="1"/>
    <col min="5841" max="5841" width="18.75" style="224" customWidth="1"/>
    <col min="5842" max="5843" width="18.25" style="224" customWidth="1"/>
    <col min="5844" max="5844" width="18.375" style="224" customWidth="1"/>
    <col min="5845" max="5846" width="18.25" style="224" customWidth="1"/>
    <col min="5847" max="5847" width="17.875" style="224" customWidth="1"/>
    <col min="5848" max="5848" width="18.25" style="224" customWidth="1"/>
    <col min="5849" max="5849" width="48.875" style="224" customWidth="1"/>
    <col min="5850" max="5850" width="38.125" style="224" customWidth="1"/>
    <col min="5851" max="5851" width="6.75" style="224"/>
    <col min="5852" max="5852" width="10.875" style="224" customWidth="1"/>
    <col min="5853" max="6087" width="6.75" style="224"/>
    <col min="6088" max="6088" width="7.875" style="224" customWidth="1"/>
    <col min="6089" max="6089" width="16" style="224" customWidth="1"/>
    <col min="6090" max="6090" width="13.625" style="224" customWidth="1"/>
    <col min="6091" max="6091" width="12.375" style="224" customWidth="1"/>
    <col min="6092" max="6092" width="14.75" style="224" customWidth="1"/>
    <col min="6093" max="6093" width="31.375" style="224" customWidth="1"/>
    <col min="6094" max="6095" width="21.125" style="224" customWidth="1"/>
    <col min="6096" max="6096" width="18.375" style="224" customWidth="1"/>
    <col min="6097" max="6097" width="18.75" style="224" customWidth="1"/>
    <col min="6098" max="6099" width="18.25" style="224" customWidth="1"/>
    <col min="6100" max="6100" width="18.375" style="224" customWidth="1"/>
    <col min="6101" max="6102" width="18.25" style="224" customWidth="1"/>
    <col min="6103" max="6103" width="17.875" style="224" customWidth="1"/>
    <col min="6104" max="6104" width="18.25" style="224" customWidth="1"/>
    <col min="6105" max="6105" width="48.875" style="224" customWidth="1"/>
    <col min="6106" max="6106" width="38.125" style="224" customWidth="1"/>
    <col min="6107" max="6107" width="6.75" style="224"/>
    <col min="6108" max="6108" width="10.875" style="224" customWidth="1"/>
    <col min="6109" max="6343" width="6.75" style="224"/>
    <col min="6344" max="6344" width="7.875" style="224" customWidth="1"/>
    <col min="6345" max="6345" width="16" style="224" customWidth="1"/>
    <col min="6346" max="6346" width="13.625" style="224" customWidth="1"/>
    <col min="6347" max="6347" width="12.375" style="224" customWidth="1"/>
    <col min="6348" max="6348" width="14.75" style="224" customWidth="1"/>
    <col min="6349" max="6349" width="31.375" style="224" customWidth="1"/>
    <col min="6350" max="6351" width="21.125" style="224" customWidth="1"/>
    <col min="6352" max="6352" width="18.375" style="224" customWidth="1"/>
    <col min="6353" max="6353" width="18.75" style="224" customWidth="1"/>
    <col min="6354" max="6355" width="18.25" style="224" customWidth="1"/>
    <col min="6356" max="6356" width="18.375" style="224" customWidth="1"/>
    <col min="6357" max="6358" width="18.25" style="224" customWidth="1"/>
    <col min="6359" max="6359" width="17.875" style="224" customWidth="1"/>
    <col min="6360" max="6360" width="18.25" style="224" customWidth="1"/>
    <col min="6361" max="6361" width="48.875" style="224" customWidth="1"/>
    <col min="6362" max="6362" width="38.125" style="224" customWidth="1"/>
    <col min="6363" max="6363" width="6.75" style="224"/>
    <col min="6364" max="6364" width="10.875" style="224" customWidth="1"/>
    <col min="6365" max="6599" width="6.75" style="224"/>
    <col min="6600" max="6600" width="7.875" style="224" customWidth="1"/>
    <col min="6601" max="6601" width="16" style="224" customWidth="1"/>
    <col min="6602" max="6602" width="13.625" style="224" customWidth="1"/>
    <col min="6603" max="6603" width="12.375" style="224" customWidth="1"/>
    <col min="6604" max="6604" width="14.75" style="224" customWidth="1"/>
    <col min="6605" max="6605" width="31.375" style="224" customWidth="1"/>
    <col min="6606" max="6607" width="21.125" style="224" customWidth="1"/>
    <col min="6608" max="6608" width="18.375" style="224" customWidth="1"/>
    <col min="6609" max="6609" width="18.75" style="224" customWidth="1"/>
    <col min="6610" max="6611" width="18.25" style="224" customWidth="1"/>
    <col min="6612" max="6612" width="18.375" style="224" customWidth="1"/>
    <col min="6613" max="6614" width="18.25" style="224" customWidth="1"/>
    <col min="6615" max="6615" width="17.875" style="224" customWidth="1"/>
    <col min="6616" max="6616" width="18.25" style="224" customWidth="1"/>
    <col min="6617" max="6617" width="48.875" style="224" customWidth="1"/>
    <col min="6618" max="6618" width="38.125" style="224" customWidth="1"/>
    <col min="6619" max="6619" width="6.75" style="224"/>
    <col min="6620" max="6620" width="10.875" style="224" customWidth="1"/>
    <col min="6621" max="6855" width="6.75" style="224"/>
    <col min="6856" max="6856" width="7.875" style="224" customWidth="1"/>
    <col min="6857" max="6857" width="16" style="224" customWidth="1"/>
    <col min="6858" max="6858" width="13.625" style="224" customWidth="1"/>
    <col min="6859" max="6859" width="12.375" style="224" customWidth="1"/>
    <col min="6860" max="6860" width="14.75" style="224" customWidth="1"/>
    <col min="6861" max="6861" width="31.375" style="224" customWidth="1"/>
    <col min="6862" max="6863" width="21.125" style="224" customWidth="1"/>
    <col min="6864" max="6864" width="18.375" style="224" customWidth="1"/>
    <col min="6865" max="6865" width="18.75" style="224" customWidth="1"/>
    <col min="6866" max="6867" width="18.25" style="224" customWidth="1"/>
    <col min="6868" max="6868" width="18.375" style="224" customWidth="1"/>
    <col min="6869" max="6870" width="18.25" style="224" customWidth="1"/>
    <col min="6871" max="6871" width="17.875" style="224" customWidth="1"/>
    <col min="6872" max="6872" width="18.25" style="224" customWidth="1"/>
    <col min="6873" max="6873" width="48.875" style="224" customWidth="1"/>
    <col min="6874" max="6874" width="38.125" style="224" customWidth="1"/>
    <col min="6875" max="6875" width="6.75" style="224"/>
    <col min="6876" max="6876" width="10.875" style="224" customWidth="1"/>
    <col min="6877" max="7111" width="6.75" style="224"/>
    <col min="7112" max="7112" width="7.875" style="224" customWidth="1"/>
    <col min="7113" max="7113" width="16" style="224" customWidth="1"/>
    <col min="7114" max="7114" width="13.625" style="224" customWidth="1"/>
    <col min="7115" max="7115" width="12.375" style="224" customWidth="1"/>
    <col min="7116" max="7116" width="14.75" style="224" customWidth="1"/>
    <col min="7117" max="7117" width="31.375" style="224" customWidth="1"/>
    <col min="7118" max="7119" width="21.125" style="224" customWidth="1"/>
    <col min="7120" max="7120" width="18.375" style="224" customWidth="1"/>
    <col min="7121" max="7121" width="18.75" style="224" customWidth="1"/>
    <col min="7122" max="7123" width="18.25" style="224" customWidth="1"/>
    <col min="7124" max="7124" width="18.375" style="224" customWidth="1"/>
    <col min="7125" max="7126" width="18.25" style="224" customWidth="1"/>
    <col min="7127" max="7127" width="17.875" style="224" customWidth="1"/>
    <col min="7128" max="7128" width="18.25" style="224" customWidth="1"/>
    <col min="7129" max="7129" width="48.875" style="224" customWidth="1"/>
    <col min="7130" max="7130" width="38.125" style="224" customWidth="1"/>
    <col min="7131" max="7131" width="6.75" style="224"/>
    <col min="7132" max="7132" width="10.875" style="224" customWidth="1"/>
    <col min="7133" max="7367" width="6.75" style="224"/>
    <col min="7368" max="7368" width="7.875" style="224" customWidth="1"/>
    <col min="7369" max="7369" width="16" style="224" customWidth="1"/>
    <col min="7370" max="7370" width="13.625" style="224" customWidth="1"/>
    <col min="7371" max="7371" width="12.375" style="224" customWidth="1"/>
    <col min="7372" max="7372" width="14.75" style="224" customWidth="1"/>
    <col min="7373" max="7373" width="31.375" style="224" customWidth="1"/>
    <col min="7374" max="7375" width="21.125" style="224" customWidth="1"/>
    <col min="7376" max="7376" width="18.375" style="224" customWidth="1"/>
    <col min="7377" max="7377" width="18.75" style="224" customWidth="1"/>
    <col min="7378" max="7379" width="18.25" style="224" customWidth="1"/>
    <col min="7380" max="7380" width="18.375" style="224" customWidth="1"/>
    <col min="7381" max="7382" width="18.25" style="224" customWidth="1"/>
    <col min="7383" max="7383" width="17.875" style="224" customWidth="1"/>
    <col min="7384" max="7384" width="18.25" style="224" customWidth="1"/>
    <col min="7385" max="7385" width="48.875" style="224" customWidth="1"/>
    <col min="7386" max="7386" width="38.125" style="224" customWidth="1"/>
    <col min="7387" max="7387" width="6.75" style="224"/>
    <col min="7388" max="7388" width="10.875" style="224" customWidth="1"/>
    <col min="7389" max="7623" width="6.75" style="224"/>
    <col min="7624" max="7624" width="7.875" style="224" customWidth="1"/>
    <col min="7625" max="7625" width="16" style="224" customWidth="1"/>
    <col min="7626" max="7626" width="13.625" style="224" customWidth="1"/>
    <col min="7627" max="7627" width="12.375" style="224" customWidth="1"/>
    <col min="7628" max="7628" width="14.75" style="224" customWidth="1"/>
    <col min="7629" max="7629" width="31.375" style="224" customWidth="1"/>
    <col min="7630" max="7631" width="21.125" style="224" customWidth="1"/>
    <col min="7632" max="7632" width="18.375" style="224" customWidth="1"/>
    <col min="7633" max="7633" width="18.75" style="224" customWidth="1"/>
    <col min="7634" max="7635" width="18.25" style="224" customWidth="1"/>
    <col min="7636" max="7636" width="18.375" style="224" customWidth="1"/>
    <col min="7637" max="7638" width="18.25" style="224" customWidth="1"/>
    <col min="7639" max="7639" width="17.875" style="224" customWidth="1"/>
    <col min="7640" max="7640" width="18.25" style="224" customWidth="1"/>
    <col min="7641" max="7641" width="48.875" style="224" customWidth="1"/>
    <col min="7642" max="7642" width="38.125" style="224" customWidth="1"/>
    <col min="7643" max="7643" width="6.75" style="224"/>
    <col min="7644" max="7644" width="10.875" style="224" customWidth="1"/>
    <col min="7645" max="7879" width="6.75" style="224"/>
    <col min="7880" max="7880" width="7.875" style="224" customWidth="1"/>
    <col min="7881" max="7881" width="16" style="224" customWidth="1"/>
    <col min="7882" max="7882" width="13.625" style="224" customWidth="1"/>
    <col min="7883" max="7883" width="12.375" style="224" customWidth="1"/>
    <col min="7884" max="7884" width="14.75" style="224" customWidth="1"/>
    <col min="7885" max="7885" width="31.375" style="224" customWidth="1"/>
    <col min="7886" max="7887" width="21.125" style="224" customWidth="1"/>
    <col min="7888" max="7888" width="18.375" style="224" customWidth="1"/>
    <col min="7889" max="7889" width="18.75" style="224" customWidth="1"/>
    <col min="7890" max="7891" width="18.25" style="224" customWidth="1"/>
    <col min="7892" max="7892" width="18.375" style="224" customWidth="1"/>
    <col min="7893" max="7894" width="18.25" style="224" customWidth="1"/>
    <col min="7895" max="7895" width="17.875" style="224" customWidth="1"/>
    <col min="7896" max="7896" width="18.25" style="224" customWidth="1"/>
    <col min="7897" max="7897" width="48.875" style="224" customWidth="1"/>
    <col min="7898" max="7898" width="38.125" style="224" customWidth="1"/>
    <col min="7899" max="7899" width="6.75" style="224"/>
    <col min="7900" max="7900" width="10.875" style="224" customWidth="1"/>
    <col min="7901" max="8135" width="6.75" style="224"/>
    <col min="8136" max="8136" width="7.875" style="224" customWidth="1"/>
    <col min="8137" max="8137" width="16" style="224" customWidth="1"/>
    <col min="8138" max="8138" width="13.625" style="224" customWidth="1"/>
    <col min="8139" max="8139" width="12.375" style="224" customWidth="1"/>
    <col min="8140" max="8140" width="14.75" style="224" customWidth="1"/>
    <col min="8141" max="8141" width="31.375" style="224" customWidth="1"/>
    <col min="8142" max="8143" width="21.125" style="224" customWidth="1"/>
    <col min="8144" max="8144" width="18.375" style="224" customWidth="1"/>
    <col min="8145" max="8145" width="18.75" style="224" customWidth="1"/>
    <col min="8146" max="8147" width="18.25" style="224" customWidth="1"/>
    <col min="8148" max="8148" width="18.375" style="224" customWidth="1"/>
    <col min="8149" max="8150" width="18.25" style="224" customWidth="1"/>
    <col min="8151" max="8151" width="17.875" style="224" customWidth="1"/>
    <col min="8152" max="8152" width="18.25" style="224" customWidth="1"/>
    <col min="8153" max="8153" width="48.875" style="224" customWidth="1"/>
    <col min="8154" max="8154" width="38.125" style="224" customWidth="1"/>
    <col min="8155" max="8155" width="6.75" style="224"/>
    <col min="8156" max="8156" width="10.875" style="224" customWidth="1"/>
    <col min="8157" max="8391" width="6.75" style="224"/>
    <col min="8392" max="8392" width="7.875" style="224" customWidth="1"/>
    <col min="8393" max="8393" width="16" style="224" customWidth="1"/>
    <col min="8394" max="8394" width="13.625" style="224" customWidth="1"/>
    <col min="8395" max="8395" width="12.375" style="224" customWidth="1"/>
    <col min="8396" max="8396" width="14.75" style="224" customWidth="1"/>
    <col min="8397" max="8397" width="31.375" style="224" customWidth="1"/>
    <col min="8398" max="8399" width="21.125" style="224" customWidth="1"/>
    <col min="8400" max="8400" width="18.375" style="224" customWidth="1"/>
    <col min="8401" max="8401" width="18.75" style="224" customWidth="1"/>
    <col min="8402" max="8403" width="18.25" style="224" customWidth="1"/>
    <col min="8404" max="8404" width="18.375" style="224" customWidth="1"/>
    <col min="8405" max="8406" width="18.25" style="224" customWidth="1"/>
    <col min="8407" max="8407" width="17.875" style="224" customWidth="1"/>
    <col min="8408" max="8408" width="18.25" style="224" customWidth="1"/>
    <col min="8409" max="8409" width="48.875" style="224" customWidth="1"/>
    <col min="8410" max="8410" width="38.125" style="224" customWidth="1"/>
    <col min="8411" max="8411" width="6.75" style="224"/>
    <col min="8412" max="8412" width="10.875" style="224" customWidth="1"/>
    <col min="8413" max="8647" width="6.75" style="224"/>
    <col min="8648" max="8648" width="7.875" style="224" customWidth="1"/>
    <col min="8649" max="8649" width="16" style="224" customWidth="1"/>
    <col min="8650" max="8650" width="13.625" style="224" customWidth="1"/>
    <col min="8651" max="8651" width="12.375" style="224" customWidth="1"/>
    <col min="8652" max="8652" width="14.75" style="224" customWidth="1"/>
    <col min="8653" max="8653" width="31.375" style="224" customWidth="1"/>
    <col min="8654" max="8655" width="21.125" style="224" customWidth="1"/>
    <col min="8656" max="8656" width="18.375" style="224" customWidth="1"/>
    <col min="8657" max="8657" width="18.75" style="224" customWidth="1"/>
    <col min="8658" max="8659" width="18.25" style="224" customWidth="1"/>
    <col min="8660" max="8660" width="18.375" style="224" customWidth="1"/>
    <col min="8661" max="8662" width="18.25" style="224" customWidth="1"/>
    <col min="8663" max="8663" width="17.875" style="224" customWidth="1"/>
    <col min="8664" max="8664" width="18.25" style="224" customWidth="1"/>
    <col min="8665" max="8665" width="48.875" style="224" customWidth="1"/>
    <col min="8666" max="8666" width="38.125" style="224" customWidth="1"/>
    <col min="8667" max="8667" width="6.75" style="224"/>
    <col min="8668" max="8668" width="10.875" style="224" customWidth="1"/>
    <col min="8669" max="8903" width="6.75" style="224"/>
    <col min="8904" max="8904" width="7.875" style="224" customWidth="1"/>
    <col min="8905" max="8905" width="16" style="224" customWidth="1"/>
    <col min="8906" max="8906" width="13.625" style="224" customWidth="1"/>
    <col min="8907" max="8907" width="12.375" style="224" customWidth="1"/>
    <col min="8908" max="8908" width="14.75" style="224" customWidth="1"/>
    <col min="8909" max="8909" width="31.375" style="224" customWidth="1"/>
    <col min="8910" max="8911" width="21.125" style="224" customWidth="1"/>
    <col min="8912" max="8912" width="18.375" style="224" customWidth="1"/>
    <col min="8913" max="8913" width="18.75" style="224" customWidth="1"/>
    <col min="8914" max="8915" width="18.25" style="224" customWidth="1"/>
    <col min="8916" max="8916" width="18.375" style="224" customWidth="1"/>
    <col min="8917" max="8918" width="18.25" style="224" customWidth="1"/>
    <col min="8919" max="8919" width="17.875" style="224" customWidth="1"/>
    <col min="8920" max="8920" width="18.25" style="224" customWidth="1"/>
    <col min="8921" max="8921" width="48.875" style="224" customWidth="1"/>
    <col min="8922" max="8922" width="38.125" style="224" customWidth="1"/>
    <col min="8923" max="8923" width="6.75" style="224"/>
    <col min="8924" max="8924" width="10.875" style="224" customWidth="1"/>
    <col min="8925" max="9159" width="6.75" style="224"/>
    <col min="9160" max="9160" width="7.875" style="224" customWidth="1"/>
    <col min="9161" max="9161" width="16" style="224" customWidth="1"/>
    <col min="9162" max="9162" width="13.625" style="224" customWidth="1"/>
    <col min="9163" max="9163" width="12.375" style="224" customWidth="1"/>
    <col min="9164" max="9164" width="14.75" style="224" customWidth="1"/>
    <col min="9165" max="9165" width="31.375" style="224" customWidth="1"/>
    <col min="9166" max="9167" width="21.125" style="224" customWidth="1"/>
    <col min="9168" max="9168" width="18.375" style="224" customWidth="1"/>
    <col min="9169" max="9169" width="18.75" style="224" customWidth="1"/>
    <col min="9170" max="9171" width="18.25" style="224" customWidth="1"/>
    <col min="9172" max="9172" width="18.375" style="224" customWidth="1"/>
    <col min="9173" max="9174" width="18.25" style="224" customWidth="1"/>
    <col min="9175" max="9175" width="17.875" style="224" customWidth="1"/>
    <col min="9176" max="9176" width="18.25" style="224" customWidth="1"/>
    <col min="9177" max="9177" width="48.875" style="224" customWidth="1"/>
    <col min="9178" max="9178" width="38.125" style="224" customWidth="1"/>
    <col min="9179" max="9179" width="6.75" style="224"/>
    <col min="9180" max="9180" width="10.875" style="224" customWidth="1"/>
    <col min="9181" max="9415" width="6.75" style="224"/>
    <col min="9416" max="9416" width="7.875" style="224" customWidth="1"/>
    <col min="9417" max="9417" width="16" style="224" customWidth="1"/>
    <col min="9418" max="9418" width="13.625" style="224" customWidth="1"/>
    <col min="9419" max="9419" width="12.375" style="224" customWidth="1"/>
    <col min="9420" max="9420" width="14.75" style="224" customWidth="1"/>
    <col min="9421" max="9421" width="31.375" style="224" customWidth="1"/>
    <col min="9422" max="9423" width="21.125" style="224" customWidth="1"/>
    <col min="9424" max="9424" width="18.375" style="224" customWidth="1"/>
    <col min="9425" max="9425" width="18.75" style="224" customWidth="1"/>
    <col min="9426" max="9427" width="18.25" style="224" customWidth="1"/>
    <col min="9428" max="9428" width="18.375" style="224" customWidth="1"/>
    <col min="9429" max="9430" width="18.25" style="224" customWidth="1"/>
    <col min="9431" max="9431" width="17.875" style="224" customWidth="1"/>
    <col min="9432" max="9432" width="18.25" style="224" customWidth="1"/>
    <col min="9433" max="9433" width="48.875" style="224" customWidth="1"/>
    <col min="9434" max="9434" width="38.125" style="224" customWidth="1"/>
    <col min="9435" max="9435" width="6.75" style="224"/>
    <col min="9436" max="9436" width="10.875" style="224" customWidth="1"/>
    <col min="9437" max="9671" width="6.75" style="224"/>
    <col min="9672" max="9672" width="7.875" style="224" customWidth="1"/>
    <col min="9673" max="9673" width="16" style="224" customWidth="1"/>
    <col min="9674" max="9674" width="13.625" style="224" customWidth="1"/>
    <col min="9675" max="9675" width="12.375" style="224" customWidth="1"/>
    <col min="9676" max="9676" width="14.75" style="224" customWidth="1"/>
    <col min="9677" max="9677" width="31.375" style="224" customWidth="1"/>
    <col min="9678" max="9679" width="21.125" style="224" customWidth="1"/>
    <col min="9680" max="9680" width="18.375" style="224" customWidth="1"/>
    <col min="9681" max="9681" width="18.75" style="224" customWidth="1"/>
    <col min="9682" max="9683" width="18.25" style="224" customWidth="1"/>
    <col min="9684" max="9684" width="18.375" style="224" customWidth="1"/>
    <col min="9685" max="9686" width="18.25" style="224" customWidth="1"/>
    <col min="9687" max="9687" width="17.875" style="224" customWidth="1"/>
    <col min="9688" max="9688" width="18.25" style="224" customWidth="1"/>
    <col min="9689" max="9689" width="48.875" style="224" customWidth="1"/>
    <col min="9690" max="9690" width="38.125" style="224" customWidth="1"/>
    <col min="9691" max="9691" width="6.75" style="224"/>
    <col min="9692" max="9692" width="10.875" style="224" customWidth="1"/>
    <col min="9693" max="9927" width="6.75" style="224"/>
    <col min="9928" max="9928" width="7.875" style="224" customWidth="1"/>
    <col min="9929" max="9929" width="16" style="224" customWidth="1"/>
    <col min="9930" max="9930" width="13.625" style="224" customWidth="1"/>
    <col min="9931" max="9931" width="12.375" style="224" customWidth="1"/>
    <col min="9932" max="9932" width="14.75" style="224" customWidth="1"/>
    <col min="9933" max="9933" width="31.375" style="224" customWidth="1"/>
    <col min="9934" max="9935" width="21.125" style="224" customWidth="1"/>
    <col min="9936" max="9936" width="18.375" style="224" customWidth="1"/>
    <col min="9937" max="9937" width="18.75" style="224" customWidth="1"/>
    <col min="9938" max="9939" width="18.25" style="224" customWidth="1"/>
    <col min="9940" max="9940" width="18.375" style="224" customWidth="1"/>
    <col min="9941" max="9942" width="18.25" style="224" customWidth="1"/>
    <col min="9943" max="9943" width="17.875" style="224" customWidth="1"/>
    <col min="9944" max="9944" width="18.25" style="224" customWidth="1"/>
    <col min="9945" max="9945" width="48.875" style="224" customWidth="1"/>
    <col min="9946" max="9946" width="38.125" style="224" customWidth="1"/>
    <col min="9947" max="9947" width="6.75" style="224"/>
    <col min="9948" max="9948" width="10.875" style="224" customWidth="1"/>
    <col min="9949" max="10183" width="6.75" style="224"/>
    <col min="10184" max="10184" width="7.875" style="224" customWidth="1"/>
    <col min="10185" max="10185" width="16" style="224" customWidth="1"/>
    <col min="10186" max="10186" width="13.625" style="224" customWidth="1"/>
    <col min="10187" max="10187" width="12.375" style="224" customWidth="1"/>
    <col min="10188" max="10188" width="14.75" style="224" customWidth="1"/>
    <col min="10189" max="10189" width="31.375" style="224" customWidth="1"/>
    <col min="10190" max="10191" width="21.125" style="224" customWidth="1"/>
    <col min="10192" max="10192" width="18.375" style="224" customWidth="1"/>
    <col min="10193" max="10193" width="18.75" style="224" customWidth="1"/>
    <col min="10194" max="10195" width="18.25" style="224" customWidth="1"/>
    <col min="10196" max="10196" width="18.375" style="224" customWidth="1"/>
    <col min="10197" max="10198" width="18.25" style="224" customWidth="1"/>
    <col min="10199" max="10199" width="17.875" style="224" customWidth="1"/>
    <col min="10200" max="10200" width="18.25" style="224" customWidth="1"/>
    <col min="10201" max="10201" width="48.875" style="224" customWidth="1"/>
    <col min="10202" max="10202" width="38.125" style="224" customWidth="1"/>
    <col min="10203" max="10203" width="6.75" style="224"/>
    <col min="10204" max="10204" width="10.875" style="224" customWidth="1"/>
    <col min="10205" max="10439" width="6.75" style="224"/>
    <col min="10440" max="10440" width="7.875" style="224" customWidth="1"/>
    <col min="10441" max="10441" width="16" style="224" customWidth="1"/>
    <col min="10442" max="10442" width="13.625" style="224" customWidth="1"/>
    <col min="10443" max="10443" width="12.375" style="224" customWidth="1"/>
    <col min="10444" max="10444" width="14.75" style="224" customWidth="1"/>
    <col min="10445" max="10445" width="31.375" style="224" customWidth="1"/>
    <col min="10446" max="10447" width="21.125" style="224" customWidth="1"/>
    <col min="10448" max="10448" width="18.375" style="224" customWidth="1"/>
    <col min="10449" max="10449" width="18.75" style="224" customWidth="1"/>
    <col min="10450" max="10451" width="18.25" style="224" customWidth="1"/>
    <col min="10452" max="10452" width="18.375" style="224" customWidth="1"/>
    <col min="10453" max="10454" width="18.25" style="224" customWidth="1"/>
    <col min="10455" max="10455" width="17.875" style="224" customWidth="1"/>
    <col min="10456" max="10456" width="18.25" style="224" customWidth="1"/>
    <col min="10457" max="10457" width="48.875" style="224" customWidth="1"/>
    <col min="10458" max="10458" width="38.125" style="224" customWidth="1"/>
    <col min="10459" max="10459" width="6.75" style="224"/>
    <col min="10460" max="10460" width="10.875" style="224" customWidth="1"/>
    <col min="10461" max="10695" width="6.75" style="224"/>
    <col min="10696" max="10696" width="7.875" style="224" customWidth="1"/>
    <col min="10697" max="10697" width="16" style="224" customWidth="1"/>
    <col min="10698" max="10698" width="13.625" style="224" customWidth="1"/>
    <col min="10699" max="10699" width="12.375" style="224" customWidth="1"/>
    <col min="10700" max="10700" width="14.75" style="224" customWidth="1"/>
    <col min="10701" max="10701" width="31.375" style="224" customWidth="1"/>
    <col min="10702" max="10703" width="21.125" style="224" customWidth="1"/>
    <col min="10704" max="10704" width="18.375" style="224" customWidth="1"/>
    <col min="10705" max="10705" width="18.75" style="224" customWidth="1"/>
    <col min="10706" max="10707" width="18.25" style="224" customWidth="1"/>
    <col min="10708" max="10708" width="18.375" style="224" customWidth="1"/>
    <col min="10709" max="10710" width="18.25" style="224" customWidth="1"/>
    <col min="10711" max="10711" width="17.875" style="224" customWidth="1"/>
    <col min="10712" max="10712" width="18.25" style="224" customWidth="1"/>
    <col min="10713" max="10713" width="48.875" style="224" customWidth="1"/>
    <col min="10714" max="10714" width="38.125" style="224" customWidth="1"/>
    <col min="10715" max="10715" width="6.75" style="224"/>
    <col min="10716" max="10716" width="10.875" style="224" customWidth="1"/>
    <col min="10717" max="10951" width="6.75" style="224"/>
    <col min="10952" max="10952" width="7.875" style="224" customWidth="1"/>
    <col min="10953" max="10953" width="16" style="224" customWidth="1"/>
    <col min="10954" max="10954" width="13.625" style="224" customWidth="1"/>
    <col min="10955" max="10955" width="12.375" style="224" customWidth="1"/>
    <col min="10956" max="10956" width="14.75" style="224" customWidth="1"/>
    <col min="10957" max="10957" width="31.375" style="224" customWidth="1"/>
    <col min="10958" max="10959" width="21.125" style="224" customWidth="1"/>
    <col min="10960" max="10960" width="18.375" style="224" customWidth="1"/>
    <col min="10961" max="10961" width="18.75" style="224" customWidth="1"/>
    <col min="10962" max="10963" width="18.25" style="224" customWidth="1"/>
    <col min="10964" max="10964" width="18.375" style="224" customWidth="1"/>
    <col min="10965" max="10966" width="18.25" style="224" customWidth="1"/>
    <col min="10967" max="10967" width="17.875" style="224" customWidth="1"/>
    <col min="10968" max="10968" width="18.25" style="224" customWidth="1"/>
    <col min="10969" max="10969" width="48.875" style="224" customWidth="1"/>
    <col min="10970" max="10970" width="38.125" style="224" customWidth="1"/>
    <col min="10971" max="10971" width="6.75" style="224"/>
    <col min="10972" max="10972" width="10.875" style="224" customWidth="1"/>
    <col min="10973" max="11207" width="6.75" style="224"/>
    <col min="11208" max="11208" width="7.875" style="224" customWidth="1"/>
    <col min="11209" max="11209" width="16" style="224" customWidth="1"/>
    <col min="11210" max="11210" width="13.625" style="224" customWidth="1"/>
    <col min="11211" max="11211" width="12.375" style="224" customWidth="1"/>
    <col min="11212" max="11212" width="14.75" style="224" customWidth="1"/>
    <col min="11213" max="11213" width="31.375" style="224" customWidth="1"/>
    <col min="11214" max="11215" width="21.125" style="224" customWidth="1"/>
    <col min="11216" max="11216" width="18.375" style="224" customWidth="1"/>
    <col min="11217" max="11217" width="18.75" style="224" customWidth="1"/>
    <col min="11218" max="11219" width="18.25" style="224" customWidth="1"/>
    <col min="11220" max="11220" width="18.375" style="224" customWidth="1"/>
    <col min="11221" max="11222" width="18.25" style="224" customWidth="1"/>
    <col min="11223" max="11223" width="17.875" style="224" customWidth="1"/>
    <col min="11224" max="11224" width="18.25" style="224" customWidth="1"/>
    <col min="11225" max="11225" width="48.875" style="224" customWidth="1"/>
    <col min="11226" max="11226" width="38.125" style="224" customWidth="1"/>
    <col min="11227" max="11227" width="6.75" style="224"/>
    <col min="11228" max="11228" width="10.875" style="224" customWidth="1"/>
    <col min="11229" max="11463" width="6.75" style="224"/>
    <col min="11464" max="11464" width="7.875" style="224" customWidth="1"/>
    <col min="11465" max="11465" width="16" style="224" customWidth="1"/>
    <col min="11466" max="11466" width="13.625" style="224" customWidth="1"/>
    <col min="11467" max="11467" width="12.375" style="224" customWidth="1"/>
    <col min="11468" max="11468" width="14.75" style="224" customWidth="1"/>
    <col min="11469" max="11469" width="31.375" style="224" customWidth="1"/>
    <col min="11470" max="11471" width="21.125" style="224" customWidth="1"/>
    <col min="11472" max="11472" width="18.375" style="224" customWidth="1"/>
    <col min="11473" max="11473" width="18.75" style="224" customWidth="1"/>
    <col min="11474" max="11475" width="18.25" style="224" customWidth="1"/>
    <col min="11476" max="11476" width="18.375" style="224" customWidth="1"/>
    <col min="11477" max="11478" width="18.25" style="224" customWidth="1"/>
    <col min="11479" max="11479" width="17.875" style="224" customWidth="1"/>
    <col min="11480" max="11480" width="18.25" style="224" customWidth="1"/>
    <col min="11481" max="11481" width="48.875" style="224" customWidth="1"/>
    <col min="11482" max="11482" width="38.125" style="224" customWidth="1"/>
    <col min="11483" max="11483" width="6.75" style="224"/>
    <col min="11484" max="11484" width="10.875" style="224" customWidth="1"/>
    <col min="11485" max="11719" width="6.75" style="224"/>
    <col min="11720" max="11720" width="7.875" style="224" customWidth="1"/>
    <col min="11721" max="11721" width="16" style="224" customWidth="1"/>
    <col min="11722" max="11722" width="13.625" style="224" customWidth="1"/>
    <col min="11723" max="11723" width="12.375" style="224" customWidth="1"/>
    <col min="11724" max="11724" width="14.75" style="224" customWidth="1"/>
    <col min="11725" max="11725" width="31.375" style="224" customWidth="1"/>
    <col min="11726" max="11727" width="21.125" style="224" customWidth="1"/>
    <col min="11728" max="11728" width="18.375" style="224" customWidth="1"/>
    <col min="11729" max="11729" width="18.75" style="224" customWidth="1"/>
    <col min="11730" max="11731" width="18.25" style="224" customWidth="1"/>
    <col min="11732" max="11732" width="18.375" style="224" customWidth="1"/>
    <col min="11733" max="11734" width="18.25" style="224" customWidth="1"/>
    <col min="11735" max="11735" width="17.875" style="224" customWidth="1"/>
    <col min="11736" max="11736" width="18.25" style="224" customWidth="1"/>
    <col min="11737" max="11737" width="48.875" style="224" customWidth="1"/>
    <col min="11738" max="11738" width="38.125" style="224" customWidth="1"/>
    <col min="11739" max="11739" width="6.75" style="224"/>
    <col min="11740" max="11740" width="10.875" style="224" customWidth="1"/>
    <col min="11741" max="11975" width="6.75" style="224"/>
    <col min="11976" max="11976" width="7.875" style="224" customWidth="1"/>
    <col min="11977" max="11977" width="16" style="224" customWidth="1"/>
    <col min="11978" max="11978" width="13.625" style="224" customWidth="1"/>
    <col min="11979" max="11979" width="12.375" style="224" customWidth="1"/>
    <col min="11980" max="11980" width="14.75" style="224" customWidth="1"/>
    <col min="11981" max="11981" width="31.375" style="224" customWidth="1"/>
    <col min="11982" max="11983" width="21.125" style="224" customWidth="1"/>
    <col min="11984" max="11984" width="18.375" style="224" customWidth="1"/>
    <col min="11985" max="11985" width="18.75" style="224" customWidth="1"/>
    <col min="11986" max="11987" width="18.25" style="224" customWidth="1"/>
    <col min="11988" max="11988" width="18.375" style="224" customWidth="1"/>
    <col min="11989" max="11990" width="18.25" style="224" customWidth="1"/>
    <col min="11991" max="11991" width="17.875" style="224" customWidth="1"/>
    <col min="11992" max="11992" width="18.25" style="224" customWidth="1"/>
    <col min="11993" max="11993" width="48.875" style="224" customWidth="1"/>
    <col min="11994" max="11994" width="38.125" style="224" customWidth="1"/>
    <col min="11995" max="11995" width="6.75" style="224"/>
    <col min="11996" max="11996" width="10.875" style="224" customWidth="1"/>
    <col min="11997" max="12231" width="6.75" style="224"/>
    <col min="12232" max="12232" width="7.875" style="224" customWidth="1"/>
    <col min="12233" max="12233" width="16" style="224" customWidth="1"/>
    <col min="12234" max="12234" width="13.625" style="224" customWidth="1"/>
    <col min="12235" max="12235" width="12.375" style="224" customWidth="1"/>
    <col min="12236" max="12236" width="14.75" style="224" customWidth="1"/>
    <col min="12237" max="12237" width="31.375" style="224" customWidth="1"/>
    <col min="12238" max="12239" width="21.125" style="224" customWidth="1"/>
    <col min="12240" max="12240" width="18.375" style="224" customWidth="1"/>
    <col min="12241" max="12241" width="18.75" style="224" customWidth="1"/>
    <col min="12242" max="12243" width="18.25" style="224" customWidth="1"/>
    <col min="12244" max="12244" width="18.375" style="224" customWidth="1"/>
    <col min="12245" max="12246" width="18.25" style="224" customWidth="1"/>
    <col min="12247" max="12247" width="17.875" style="224" customWidth="1"/>
    <col min="12248" max="12248" width="18.25" style="224" customWidth="1"/>
    <col min="12249" max="12249" width="48.875" style="224" customWidth="1"/>
    <col min="12250" max="12250" width="38.125" style="224" customWidth="1"/>
    <col min="12251" max="12251" width="6.75" style="224"/>
    <col min="12252" max="12252" width="10.875" style="224" customWidth="1"/>
    <col min="12253" max="12487" width="6.75" style="224"/>
    <col min="12488" max="12488" width="7.875" style="224" customWidth="1"/>
    <col min="12489" max="12489" width="16" style="224" customWidth="1"/>
    <col min="12490" max="12490" width="13.625" style="224" customWidth="1"/>
    <col min="12491" max="12491" width="12.375" style="224" customWidth="1"/>
    <col min="12492" max="12492" width="14.75" style="224" customWidth="1"/>
    <col min="12493" max="12493" width="31.375" style="224" customWidth="1"/>
    <col min="12494" max="12495" width="21.125" style="224" customWidth="1"/>
    <col min="12496" max="12496" width="18.375" style="224" customWidth="1"/>
    <col min="12497" max="12497" width="18.75" style="224" customWidth="1"/>
    <col min="12498" max="12499" width="18.25" style="224" customWidth="1"/>
    <col min="12500" max="12500" width="18.375" style="224" customWidth="1"/>
    <col min="12501" max="12502" width="18.25" style="224" customWidth="1"/>
    <col min="12503" max="12503" width="17.875" style="224" customWidth="1"/>
    <col min="12504" max="12504" width="18.25" style="224" customWidth="1"/>
    <col min="12505" max="12505" width="48.875" style="224" customWidth="1"/>
    <col min="12506" max="12506" width="38.125" style="224" customWidth="1"/>
    <col min="12507" max="12507" width="6.75" style="224"/>
    <col min="12508" max="12508" width="10.875" style="224" customWidth="1"/>
    <col min="12509" max="12743" width="6.75" style="224"/>
    <col min="12744" max="12744" width="7.875" style="224" customWidth="1"/>
    <col min="12745" max="12745" width="16" style="224" customWidth="1"/>
    <col min="12746" max="12746" width="13.625" style="224" customWidth="1"/>
    <col min="12747" max="12747" width="12.375" style="224" customWidth="1"/>
    <col min="12748" max="12748" width="14.75" style="224" customWidth="1"/>
    <col min="12749" max="12749" width="31.375" style="224" customWidth="1"/>
    <col min="12750" max="12751" width="21.125" style="224" customWidth="1"/>
    <col min="12752" max="12752" width="18.375" style="224" customWidth="1"/>
    <col min="12753" max="12753" width="18.75" style="224" customWidth="1"/>
    <col min="12754" max="12755" width="18.25" style="224" customWidth="1"/>
    <col min="12756" max="12756" width="18.375" style="224" customWidth="1"/>
    <col min="12757" max="12758" width="18.25" style="224" customWidth="1"/>
    <col min="12759" max="12759" width="17.875" style="224" customWidth="1"/>
    <col min="12760" max="12760" width="18.25" style="224" customWidth="1"/>
    <col min="12761" max="12761" width="48.875" style="224" customWidth="1"/>
    <col min="12762" max="12762" width="38.125" style="224" customWidth="1"/>
    <col min="12763" max="12763" width="6.75" style="224"/>
    <col min="12764" max="12764" width="10.875" style="224" customWidth="1"/>
    <col min="12765" max="12999" width="6.75" style="224"/>
    <col min="13000" max="13000" width="7.875" style="224" customWidth="1"/>
    <col min="13001" max="13001" width="16" style="224" customWidth="1"/>
    <col min="13002" max="13002" width="13.625" style="224" customWidth="1"/>
    <col min="13003" max="13003" width="12.375" style="224" customWidth="1"/>
    <col min="13004" max="13004" width="14.75" style="224" customWidth="1"/>
    <col min="13005" max="13005" width="31.375" style="224" customWidth="1"/>
    <col min="13006" max="13007" width="21.125" style="224" customWidth="1"/>
    <col min="13008" max="13008" width="18.375" style="224" customWidth="1"/>
    <col min="13009" max="13009" width="18.75" style="224" customWidth="1"/>
    <col min="13010" max="13011" width="18.25" style="224" customWidth="1"/>
    <col min="13012" max="13012" width="18.375" style="224" customWidth="1"/>
    <col min="13013" max="13014" width="18.25" style="224" customWidth="1"/>
    <col min="13015" max="13015" width="17.875" style="224" customWidth="1"/>
    <col min="13016" max="13016" width="18.25" style="224" customWidth="1"/>
    <col min="13017" max="13017" width="48.875" style="224" customWidth="1"/>
    <col min="13018" max="13018" width="38.125" style="224" customWidth="1"/>
    <col min="13019" max="13019" width="6.75" style="224"/>
    <col min="13020" max="13020" width="10.875" style="224" customWidth="1"/>
    <col min="13021" max="13255" width="6.75" style="224"/>
    <col min="13256" max="13256" width="7.875" style="224" customWidth="1"/>
    <col min="13257" max="13257" width="16" style="224" customWidth="1"/>
    <col min="13258" max="13258" width="13.625" style="224" customWidth="1"/>
    <col min="13259" max="13259" width="12.375" style="224" customWidth="1"/>
    <col min="13260" max="13260" width="14.75" style="224" customWidth="1"/>
    <col min="13261" max="13261" width="31.375" style="224" customWidth="1"/>
    <col min="13262" max="13263" width="21.125" style="224" customWidth="1"/>
    <col min="13264" max="13264" width="18.375" style="224" customWidth="1"/>
    <col min="13265" max="13265" width="18.75" style="224" customWidth="1"/>
    <col min="13266" max="13267" width="18.25" style="224" customWidth="1"/>
    <col min="13268" max="13268" width="18.375" style="224" customWidth="1"/>
    <col min="13269" max="13270" width="18.25" style="224" customWidth="1"/>
    <col min="13271" max="13271" width="17.875" style="224" customWidth="1"/>
    <col min="13272" max="13272" width="18.25" style="224" customWidth="1"/>
    <col min="13273" max="13273" width="48.875" style="224" customWidth="1"/>
    <col min="13274" max="13274" width="38.125" style="224" customWidth="1"/>
    <col min="13275" max="13275" width="6.75" style="224"/>
    <col min="13276" max="13276" width="10.875" style="224" customWidth="1"/>
    <col min="13277" max="13511" width="6.75" style="224"/>
    <col min="13512" max="13512" width="7.875" style="224" customWidth="1"/>
    <col min="13513" max="13513" width="16" style="224" customWidth="1"/>
    <col min="13514" max="13514" width="13.625" style="224" customWidth="1"/>
    <col min="13515" max="13515" width="12.375" style="224" customWidth="1"/>
    <col min="13516" max="13516" width="14.75" style="224" customWidth="1"/>
    <col min="13517" max="13517" width="31.375" style="224" customWidth="1"/>
    <col min="13518" max="13519" width="21.125" style="224" customWidth="1"/>
    <col min="13520" max="13520" width="18.375" style="224" customWidth="1"/>
    <col min="13521" max="13521" width="18.75" style="224" customWidth="1"/>
    <col min="13522" max="13523" width="18.25" style="224" customWidth="1"/>
    <col min="13524" max="13524" width="18.375" style="224" customWidth="1"/>
    <col min="13525" max="13526" width="18.25" style="224" customWidth="1"/>
    <col min="13527" max="13527" width="17.875" style="224" customWidth="1"/>
    <col min="13528" max="13528" width="18.25" style="224" customWidth="1"/>
    <col min="13529" max="13529" width="48.875" style="224" customWidth="1"/>
    <col min="13530" max="13530" width="38.125" style="224" customWidth="1"/>
    <col min="13531" max="13531" width="6.75" style="224"/>
    <col min="13532" max="13532" width="10.875" style="224" customWidth="1"/>
    <col min="13533" max="13767" width="6.75" style="224"/>
    <col min="13768" max="13768" width="7.875" style="224" customWidth="1"/>
    <col min="13769" max="13769" width="16" style="224" customWidth="1"/>
    <col min="13770" max="13770" width="13.625" style="224" customWidth="1"/>
    <col min="13771" max="13771" width="12.375" style="224" customWidth="1"/>
    <col min="13772" max="13772" width="14.75" style="224" customWidth="1"/>
    <col min="13773" max="13773" width="31.375" style="224" customWidth="1"/>
    <col min="13774" max="13775" width="21.125" style="224" customWidth="1"/>
    <col min="13776" max="13776" width="18.375" style="224" customWidth="1"/>
    <col min="13777" max="13777" width="18.75" style="224" customWidth="1"/>
    <col min="13778" max="13779" width="18.25" style="224" customWidth="1"/>
    <col min="13780" max="13780" width="18.375" style="224" customWidth="1"/>
    <col min="13781" max="13782" width="18.25" style="224" customWidth="1"/>
    <col min="13783" max="13783" width="17.875" style="224" customWidth="1"/>
    <col min="13784" max="13784" width="18.25" style="224" customWidth="1"/>
    <col min="13785" max="13785" width="48.875" style="224" customWidth="1"/>
    <col min="13786" max="13786" width="38.125" style="224" customWidth="1"/>
    <col min="13787" max="13787" width="6.75" style="224"/>
    <col min="13788" max="13788" width="10.875" style="224" customWidth="1"/>
    <col min="13789" max="14023" width="6.75" style="224"/>
    <col min="14024" max="14024" width="7.875" style="224" customWidth="1"/>
    <col min="14025" max="14025" width="16" style="224" customWidth="1"/>
    <col min="14026" max="14026" width="13.625" style="224" customWidth="1"/>
    <col min="14027" max="14027" width="12.375" style="224" customWidth="1"/>
    <col min="14028" max="14028" width="14.75" style="224" customWidth="1"/>
    <col min="14029" max="14029" width="31.375" style="224" customWidth="1"/>
    <col min="14030" max="14031" width="21.125" style="224" customWidth="1"/>
    <col min="14032" max="14032" width="18.375" style="224" customWidth="1"/>
    <col min="14033" max="14033" width="18.75" style="224" customWidth="1"/>
    <col min="14034" max="14035" width="18.25" style="224" customWidth="1"/>
    <col min="14036" max="14036" width="18.375" style="224" customWidth="1"/>
    <col min="14037" max="14038" width="18.25" style="224" customWidth="1"/>
    <col min="14039" max="14039" width="17.875" style="224" customWidth="1"/>
    <col min="14040" max="14040" width="18.25" style="224" customWidth="1"/>
    <col min="14041" max="14041" width="48.875" style="224" customWidth="1"/>
    <col min="14042" max="14042" width="38.125" style="224" customWidth="1"/>
    <col min="14043" max="14043" width="6.75" style="224"/>
    <col min="14044" max="14044" width="10.875" style="224" customWidth="1"/>
    <col min="14045" max="14279" width="6.75" style="224"/>
    <col min="14280" max="14280" width="7.875" style="224" customWidth="1"/>
    <col min="14281" max="14281" width="16" style="224" customWidth="1"/>
    <col min="14282" max="14282" width="13.625" style="224" customWidth="1"/>
    <col min="14283" max="14283" width="12.375" style="224" customWidth="1"/>
    <col min="14284" max="14284" width="14.75" style="224" customWidth="1"/>
    <col min="14285" max="14285" width="31.375" style="224" customWidth="1"/>
    <col min="14286" max="14287" width="21.125" style="224" customWidth="1"/>
    <col min="14288" max="14288" width="18.375" style="224" customWidth="1"/>
    <col min="14289" max="14289" width="18.75" style="224" customWidth="1"/>
    <col min="14290" max="14291" width="18.25" style="224" customWidth="1"/>
    <col min="14292" max="14292" width="18.375" style="224" customWidth="1"/>
    <col min="14293" max="14294" width="18.25" style="224" customWidth="1"/>
    <col min="14295" max="14295" width="17.875" style="224" customWidth="1"/>
    <col min="14296" max="14296" width="18.25" style="224" customWidth="1"/>
    <col min="14297" max="14297" width="48.875" style="224" customWidth="1"/>
    <col min="14298" max="14298" width="38.125" style="224" customWidth="1"/>
    <col min="14299" max="14299" width="6.75" style="224"/>
    <col min="14300" max="14300" width="10.875" style="224" customWidth="1"/>
    <col min="14301" max="14535" width="6.75" style="224"/>
    <col min="14536" max="14536" width="7.875" style="224" customWidth="1"/>
    <col min="14537" max="14537" width="16" style="224" customWidth="1"/>
    <col min="14538" max="14538" width="13.625" style="224" customWidth="1"/>
    <col min="14539" max="14539" width="12.375" style="224" customWidth="1"/>
    <col min="14540" max="14540" width="14.75" style="224" customWidth="1"/>
    <col min="14541" max="14541" width="31.375" style="224" customWidth="1"/>
    <col min="14542" max="14543" width="21.125" style="224" customWidth="1"/>
    <col min="14544" max="14544" width="18.375" style="224" customWidth="1"/>
    <col min="14545" max="14545" width="18.75" style="224" customWidth="1"/>
    <col min="14546" max="14547" width="18.25" style="224" customWidth="1"/>
    <col min="14548" max="14548" width="18.375" style="224" customWidth="1"/>
    <col min="14549" max="14550" width="18.25" style="224" customWidth="1"/>
    <col min="14551" max="14551" width="17.875" style="224" customWidth="1"/>
    <col min="14552" max="14552" width="18.25" style="224" customWidth="1"/>
    <col min="14553" max="14553" width="48.875" style="224" customWidth="1"/>
    <col min="14554" max="14554" width="38.125" style="224" customWidth="1"/>
    <col min="14555" max="14555" width="6.75" style="224"/>
    <col min="14556" max="14556" width="10.875" style="224" customWidth="1"/>
    <col min="14557" max="14791" width="6.75" style="224"/>
    <col min="14792" max="14792" width="7.875" style="224" customWidth="1"/>
    <col min="14793" max="14793" width="16" style="224" customWidth="1"/>
    <col min="14794" max="14794" width="13.625" style="224" customWidth="1"/>
    <col min="14795" max="14795" width="12.375" style="224" customWidth="1"/>
    <col min="14796" max="14796" width="14.75" style="224" customWidth="1"/>
    <col min="14797" max="14797" width="31.375" style="224" customWidth="1"/>
    <col min="14798" max="14799" width="21.125" style="224" customWidth="1"/>
    <col min="14800" max="14800" width="18.375" style="224" customWidth="1"/>
    <col min="14801" max="14801" width="18.75" style="224" customWidth="1"/>
    <col min="14802" max="14803" width="18.25" style="224" customWidth="1"/>
    <col min="14804" max="14804" width="18.375" style="224" customWidth="1"/>
    <col min="14805" max="14806" width="18.25" style="224" customWidth="1"/>
    <col min="14807" max="14807" width="17.875" style="224" customWidth="1"/>
    <col min="14808" max="14808" width="18.25" style="224" customWidth="1"/>
    <col min="14809" max="14809" width="48.875" style="224" customWidth="1"/>
    <col min="14810" max="14810" width="38.125" style="224" customWidth="1"/>
    <col min="14811" max="14811" width="6.75" style="224"/>
    <col min="14812" max="14812" width="10.875" style="224" customWidth="1"/>
    <col min="14813" max="15047" width="6.75" style="224"/>
    <col min="15048" max="15048" width="7.875" style="224" customWidth="1"/>
    <col min="15049" max="15049" width="16" style="224" customWidth="1"/>
    <col min="15050" max="15050" width="13.625" style="224" customWidth="1"/>
    <col min="15051" max="15051" width="12.375" style="224" customWidth="1"/>
    <col min="15052" max="15052" width="14.75" style="224" customWidth="1"/>
    <col min="15053" max="15053" width="31.375" style="224" customWidth="1"/>
    <col min="15054" max="15055" width="21.125" style="224" customWidth="1"/>
    <col min="15056" max="15056" width="18.375" style="224" customWidth="1"/>
    <col min="15057" max="15057" width="18.75" style="224" customWidth="1"/>
    <col min="15058" max="15059" width="18.25" style="224" customWidth="1"/>
    <col min="15060" max="15060" width="18.375" style="224" customWidth="1"/>
    <col min="15061" max="15062" width="18.25" style="224" customWidth="1"/>
    <col min="15063" max="15063" width="17.875" style="224" customWidth="1"/>
    <col min="15064" max="15064" width="18.25" style="224" customWidth="1"/>
    <col min="15065" max="15065" width="48.875" style="224" customWidth="1"/>
    <col min="15066" max="15066" width="38.125" style="224" customWidth="1"/>
    <col min="15067" max="15067" width="6.75" style="224"/>
    <col min="15068" max="15068" width="10.875" style="224" customWidth="1"/>
    <col min="15069" max="15303" width="6.75" style="224"/>
    <col min="15304" max="15304" width="7.875" style="224" customWidth="1"/>
    <col min="15305" max="15305" width="16" style="224" customWidth="1"/>
    <col min="15306" max="15306" width="13.625" style="224" customWidth="1"/>
    <col min="15307" max="15307" width="12.375" style="224" customWidth="1"/>
    <col min="15308" max="15308" width="14.75" style="224" customWidth="1"/>
    <col min="15309" max="15309" width="31.375" style="224" customWidth="1"/>
    <col min="15310" max="15311" width="21.125" style="224" customWidth="1"/>
    <col min="15312" max="15312" width="18.375" style="224" customWidth="1"/>
    <col min="15313" max="15313" width="18.75" style="224" customWidth="1"/>
    <col min="15314" max="15315" width="18.25" style="224" customWidth="1"/>
    <col min="15316" max="15316" width="18.375" style="224" customWidth="1"/>
    <col min="15317" max="15318" width="18.25" style="224" customWidth="1"/>
    <col min="15319" max="15319" width="17.875" style="224" customWidth="1"/>
    <col min="15320" max="15320" width="18.25" style="224" customWidth="1"/>
    <col min="15321" max="15321" width="48.875" style="224" customWidth="1"/>
    <col min="15322" max="15322" width="38.125" style="224" customWidth="1"/>
    <col min="15323" max="15323" width="6.75" style="224"/>
    <col min="15324" max="15324" width="10.875" style="224" customWidth="1"/>
    <col min="15325" max="15559" width="6.75" style="224"/>
    <col min="15560" max="15560" width="7.875" style="224" customWidth="1"/>
    <col min="15561" max="15561" width="16" style="224" customWidth="1"/>
    <col min="15562" max="15562" width="13.625" style="224" customWidth="1"/>
    <col min="15563" max="15563" width="12.375" style="224" customWidth="1"/>
    <col min="15564" max="15564" width="14.75" style="224" customWidth="1"/>
    <col min="15565" max="15565" width="31.375" style="224" customWidth="1"/>
    <col min="15566" max="15567" width="21.125" style="224" customWidth="1"/>
    <col min="15568" max="15568" width="18.375" style="224" customWidth="1"/>
    <col min="15569" max="15569" width="18.75" style="224" customWidth="1"/>
    <col min="15570" max="15571" width="18.25" style="224" customWidth="1"/>
    <col min="15572" max="15572" width="18.375" style="224" customWidth="1"/>
    <col min="15573" max="15574" width="18.25" style="224" customWidth="1"/>
    <col min="15575" max="15575" width="17.875" style="224" customWidth="1"/>
    <col min="15576" max="15576" width="18.25" style="224" customWidth="1"/>
    <col min="15577" max="15577" width="48.875" style="224" customWidth="1"/>
    <col min="15578" max="15578" width="38.125" style="224" customWidth="1"/>
    <col min="15579" max="15579" width="6.75" style="224"/>
    <col min="15580" max="15580" width="10.875" style="224" customWidth="1"/>
    <col min="15581" max="15815" width="6.75" style="224"/>
    <col min="15816" max="15816" width="7.875" style="224" customWidth="1"/>
    <col min="15817" max="15817" width="16" style="224" customWidth="1"/>
    <col min="15818" max="15818" width="13.625" style="224" customWidth="1"/>
    <col min="15819" max="15819" width="12.375" style="224" customWidth="1"/>
    <col min="15820" max="15820" width="14.75" style="224" customWidth="1"/>
    <col min="15821" max="15821" width="31.375" style="224" customWidth="1"/>
    <col min="15822" max="15823" width="21.125" style="224" customWidth="1"/>
    <col min="15824" max="15824" width="18.375" style="224" customWidth="1"/>
    <col min="15825" max="15825" width="18.75" style="224" customWidth="1"/>
    <col min="15826" max="15827" width="18.25" style="224" customWidth="1"/>
    <col min="15828" max="15828" width="18.375" style="224" customWidth="1"/>
    <col min="15829" max="15830" width="18.25" style="224" customWidth="1"/>
    <col min="15831" max="15831" width="17.875" style="224" customWidth="1"/>
    <col min="15832" max="15832" width="18.25" style="224" customWidth="1"/>
    <col min="15833" max="15833" width="48.875" style="224" customWidth="1"/>
    <col min="15834" max="15834" width="38.125" style="224" customWidth="1"/>
    <col min="15835" max="15835" width="6.75" style="224"/>
    <col min="15836" max="15836" width="10.875" style="224" customWidth="1"/>
    <col min="15837" max="16071" width="6.75" style="224"/>
    <col min="16072" max="16072" width="7.875" style="224" customWidth="1"/>
    <col min="16073" max="16073" width="16" style="224" customWidth="1"/>
    <col min="16074" max="16074" width="13.625" style="224" customWidth="1"/>
    <col min="16075" max="16075" width="12.375" style="224" customWidth="1"/>
    <col min="16076" max="16076" width="14.75" style="224" customWidth="1"/>
    <col min="16077" max="16077" width="31.375" style="224" customWidth="1"/>
    <col min="16078" max="16079" width="21.125" style="224" customWidth="1"/>
    <col min="16080" max="16080" width="18.375" style="224" customWidth="1"/>
    <col min="16081" max="16081" width="18.75" style="224" customWidth="1"/>
    <col min="16082" max="16083" width="18.25" style="224" customWidth="1"/>
    <col min="16084" max="16084" width="18.375" style="224" customWidth="1"/>
    <col min="16085" max="16086" width="18.25" style="224" customWidth="1"/>
    <col min="16087" max="16087" width="17.875" style="224" customWidth="1"/>
    <col min="16088" max="16088" width="18.25" style="224" customWidth="1"/>
    <col min="16089" max="16089" width="48.875" style="224" customWidth="1"/>
    <col min="16090" max="16090" width="38.125" style="224" customWidth="1"/>
    <col min="16091" max="16091" width="6.75" style="224"/>
    <col min="16092" max="16092" width="10.875" style="224" customWidth="1"/>
    <col min="16093" max="16384" width="6.75" style="224"/>
  </cols>
  <sheetData>
    <row r="1" spans="1:18" s="172" customFormat="1" ht="57.75" customHeight="1">
      <c r="A1" s="315" t="s">
        <v>221</v>
      </c>
      <c r="B1" s="315"/>
      <c r="C1" s="315"/>
      <c r="D1" s="315"/>
      <c r="E1" s="315"/>
      <c r="F1" s="315"/>
      <c r="G1" s="315"/>
      <c r="H1" s="315"/>
      <c r="I1" s="315"/>
      <c r="J1" s="315"/>
      <c r="K1" s="315"/>
      <c r="L1" s="315"/>
      <c r="M1" s="315"/>
      <c r="N1" s="315"/>
      <c r="O1" s="315"/>
      <c r="P1" s="315"/>
      <c r="Q1" s="315"/>
      <c r="R1" s="315"/>
    </row>
    <row r="2" spans="1:18" s="172" customFormat="1" ht="21" customHeight="1">
      <c r="A2" s="316" t="str">
        <f>'Biểu tổng hợp'!A2:D2</f>
        <v>(Kèm theo Báo cáo thuyết minh của Ủy ban nhân dân tỉnh Bắc Kạn)</v>
      </c>
      <c r="B2" s="316"/>
      <c r="C2" s="316"/>
      <c r="D2" s="316"/>
      <c r="E2" s="316"/>
      <c r="F2" s="316"/>
      <c r="G2" s="316"/>
      <c r="H2" s="316"/>
      <c r="I2" s="316"/>
      <c r="J2" s="316"/>
      <c r="K2" s="316"/>
      <c r="L2" s="316"/>
      <c r="M2" s="316"/>
      <c r="N2" s="316"/>
      <c r="O2" s="316"/>
      <c r="P2" s="316"/>
      <c r="Q2" s="316"/>
      <c r="R2" s="316"/>
    </row>
    <row r="3" spans="1:18" s="172" customFormat="1" ht="25.5" customHeight="1">
      <c r="A3" s="173"/>
      <c r="B3" s="174"/>
      <c r="C3" s="173"/>
      <c r="F3" s="174"/>
      <c r="G3" s="174"/>
      <c r="H3" s="174"/>
      <c r="I3" s="175"/>
      <c r="J3" s="174"/>
      <c r="K3" s="174"/>
      <c r="L3" s="174"/>
      <c r="M3" s="175"/>
      <c r="N3" s="175"/>
      <c r="O3" s="176"/>
      <c r="P3" s="177"/>
      <c r="Q3" s="355" t="s">
        <v>414</v>
      </c>
      <c r="R3" s="355"/>
    </row>
    <row r="4" spans="1:18" s="178" customFormat="1" ht="45" customHeight="1">
      <c r="A4" s="317" t="s">
        <v>222</v>
      </c>
      <c r="B4" s="310" t="s">
        <v>223</v>
      </c>
      <c r="C4" s="310" t="s">
        <v>224</v>
      </c>
      <c r="D4" s="310" t="s">
        <v>225</v>
      </c>
      <c r="E4" s="310" t="s">
        <v>226</v>
      </c>
      <c r="F4" s="310" t="s">
        <v>227</v>
      </c>
      <c r="G4" s="310" t="s">
        <v>228</v>
      </c>
      <c r="H4" s="310" t="s">
        <v>229</v>
      </c>
      <c r="I4" s="310" t="s">
        <v>230</v>
      </c>
      <c r="J4" s="310"/>
      <c r="K4" s="310"/>
      <c r="L4" s="332" t="s">
        <v>231</v>
      </c>
      <c r="M4" s="330" t="s">
        <v>232</v>
      </c>
      <c r="N4" s="335"/>
      <c r="O4" s="331"/>
      <c r="P4" s="336" t="s">
        <v>233</v>
      </c>
      <c r="Q4" s="332" t="s">
        <v>234</v>
      </c>
      <c r="R4" s="326" t="s">
        <v>235</v>
      </c>
    </row>
    <row r="5" spans="1:18" s="179" customFormat="1" ht="24" customHeight="1">
      <c r="A5" s="318"/>
      <c r="B5" s="310"/>
      <c r="C5" s="310"/>
      <c r="D5" s="310"/>
      <c r="E5" s="310"/>
      <c r="F5" s="310"/>
      <c r="G5" s="310"/>
      <c r="H5" s="310"/>
      <c r="I5" s="329" t="s">
        <v>236</v>
      </c>
      <c r="J5" s="329" t="s">
        <v>237</v>
      </c>
      <c r="K5" s="329" t="s">
        <v>238</v>
      </c>
      <c r="L5" s="333"/>
      <c r="M5" s="329" t="s">
        <v>239</v>
      </c>
      <c r="N5" s="330" t="s">
        <v>240</v>
      </c>
      <c r="O5" s="331"/>
      <c r="P5" s="337"/>
      <c r="Q5" s="333"/>
      <c r="R5" s="327"/>
    </row>
    <row r="6" spans="1:18" s="179" customFormat="1" ht="39.75" customHeight="1">
      <c r="A6" s="319"/>
      <c r="B6" s="310"/>
      <c r="C6" s="310"/>
      <c r="D6" s="310"/>
      <c r="E6" s="310"/>
      <c r="F6" s="310"/>
      <c r="G6" s="310"/>
      <c r="H6" s="310"/>
      <c r="I6" s="329"/>
      <c r="J6" s="329"/>
      <c r="K6" s="329"/>
      <c r="L6" s="334"/>
      <c r="M6" s="329"/>
      <c r="N6" s="180" t="s">
        <v>237</v>
      </c>
      <c r="O6" s="180" t="s">
        <v>238</v>
      </c>
      <c r="P6" s="338"/>
      <c r="Q6" s="334"/>
      <c r="R6" s="328"/>
    </row>
    <row r="7" spans="1:18" s="184" customFormat="1" ht="24" customHeight="1">
      <c r="A7" s="181" t="s">
        <v>241</v>
      </c>
      <c r="B7" s="181" t="s">
        <v>242</v>
      </c>
      <c r="C7" s="181" t="s">
        <v>243</v>
      </c>
      <c r="D7" s="181" t="s">
        <v>244</v>
      </c>
      <c r="E7" s="181"/>
      <c r="F7" s="181" t="s">
        <v>245</v>
      </c>
      <c r="G7" s="181"/>
      <c r="H7" s="181"/>
      <c r="I7" s="182" t="s">
        <v>246</v>
      </c>
      <c r="J7" s="181">
        <v>2</v>
      </c>
      <c r="K7" s="181">
        <v>3</v>
      </c>
      <c r="L7" s="181">
        <v>4</v>
      </c>
      <c r="M7" s="182" t="s">
        <v>247</v>
      </c>
      <c r="N7" s="182">
        <v>6</v>
      </c>
      <c r="O7" s="182">
        <v>7</v>
      </c>
      <c r="P7" s="182">
        <v>8</v>
      </c>
      <c r="Q7" s="182">
        <v>9</v>
      </c>
      <c r="R7" s="183">
        <v>9</v>
      </c>
    </row>
    <row r="8" spans="1:18" s="190" customFormat="1" ht="37.5" customHeight="1">
      <c r="A8" s="185"/>
      <c r="B8" s="320" t="s">
        <v>19</v>
      </c>
      <c r="C8" s="321"/>
      <c r="D8" s="322"/>
      <c r="E8" s="186"/>
      <c r="F8" s="187"/>
      <c r="G8" s="187"/>
      <c r="H8" s="187"/>
      <c r="I8" s="188">
        <f>I9+I20</f>
        <v>38994401150</v>
      </c>
      <c r="J8" s="188">
        <f t="shared" ref="J8:Q8" si="0">J9+J20</f>
        <v>15410907280</v>
      </c>
      <c r="K8" s="188">
        <f t="shared" si="0"/>
        <v>23583493870</v>
      </c>
      <c r="L8" s="188">
        <f t="shared" si="0"/>
        <v>10487410120</v>
      </c>
      <c r="M8" s="188">
        <f t="shared" si="0"/>
        <v>11561428700</v>
      </c>
      <c r="N8" s="188">
        <f t="shared" si="0"/>
        <v>4446728110</v>
      </c>
      <c r="O8" s="188">
        <f t="shared" si="0"/>
        <v>7114700590</v>
      </c>
      <c r="P8" s="188">
        <f t="shared" si="0"/>
        <v>4446728110</v>
      </c>
      <c r="Q8" s="188">
        <f t="shared" si="0"/>
        <v>4446725000</v>
      </c>
      <c r="R8" s="189"/>
    </row>
    <row r="9" spans="1:18" s="190" customFormat="1" ht="32.25" customHeight="1">
      <c r="A9" s="185" t="s">
        <v>42</v>
      </c>
      <c r="B9" s="323" t="s">
        <v>248</v>
      </c>
      <c r="C9" s="324"/>
      <c r="D9" s="325"/>
      <c r="E9" s="186"/>
      <c r="F9" s="187"/>
      <c r="G9" s="187"/>
      <c r="H9" s="187"/>
      <c r="I9" s="188">
        <f t="shared" ref="I9:Q9" si="1">+I14+I19</f>
        <v>11129724000</v>
      </c>
      <c r="J9" s="188">
        <f t="shared" si="1"/>
        <v>2310924000</v>
      </c>
      <c r="K9" s="188">
        <f t="shared" si="1"/>
        <v>8818800000</v>
      </c>
      <c r="L9" s="188">
        <f t="shared" si="1"/>
        <v>1684402000</v>
      </c>
      <c r="M9" s="188">
        <f>+M14+M19</f>
        <v>3566122000</v>
      </c>
      <c r="N9" s="188">
        <f>+N14+N19</f>
        <v>626522000</v>
      </c>
      <c r="O9" s="188">
        <f>+O14+O19</f>
        <v>2939600000</v>
      </c>
      <c r="P9" s="188">
        <f t="shared" si="1"/>
        <v>626522000</v>
      </c>
      <c r="Q9" s="188">
        <f t="shared" si="1"/>
        <v>626522000</v>
      </c>
      <c r="R9" s="189"/>
    </row>
    <row r="10" spans="1:18" s="179" customFormat="1" ht="24.75" customHeight="1">
      <c r="A10" s="307">
        <v>1</v>
      </c>
      <c r="B10" s="307" t="s">
        <v>249</v>
      </c>
      <c r="C10" s="307" t="s">
        <v>250</v>
      </c>
      <c r="D10" s="307" t="s">
        <v>251</v>
      </c>
      <c r="E10" s="307" t="s">
        <v>250</v>
      </c>
      <c r="F10" s="191" t="s">
        <v>252</v>
      </c>
      <c r="G10" s="307" t="s">
        <v>415</v>
      </c>
      <c r="H10" s="307" t="s">
        <v>253</v>
      </c>
      <c r="I10" s="192">
        <v>84483000</v>
      </c>
      <c r="J10" s="192">
        <v>84483000</v>
      </c>
      <c r="K10" s="192"/>
      <c r="L10" s="192"/>
      <c r="M10" s="192">
        <f>N10+O10</f>
        <v>13261000</v>
      </c>
      <c r="N10" s="192">
        <v>13261000</v>
      </c>
      <c r="O10" s="192"/>
      <c r="P10" s="192">
        <v>13261000</v>
      </c>
      <c r="Q10" s="192">
        <f>P10</f>
        <v>13261000</v>
      </c>
      <c r="R10" s="339" t="s">
        <v>433</v>
      </c>
    </row>
    <row r="11" spans="1:18" s="179" customFormat="1" ht="39.75" customHeight="1">
      <c r="A11" s="314"/>
      <c r="B11" s="314"/>
      <c r="C11" s="314"/>
      <c r="D11" s="314"/>
      <c r="E11" s="314"/>
      <c r="F11" s="191" t="s">
        <v>254</v>
      </c>
      <c r="G11" s="314"/>
      <c r="H11" s="314"/>
      <c r="I11" s="192">
        <v>166629000</v>
      </c>
      <c r="J11" s="192">
        <v>166629000</v>
      </c>
      <c r="K11" s="192"/>
      <c r="L11" s="192"/>
      <c r="M11" s="192"/>
      <c r="N11" s="192"/>
      <c r="O11" s="192"/>
      <c r="P11" s="192"/>
      <c r="Q11" s="192"/>
      <c r="R11" s="340"/>
    </row>
    <row r="12" spans="1:18" s="179" customFormat="1" ht="36" customHeight="1">
      <c r="A12" s="314"/>
      <c r="B12" s="314"/>
      <c r="C12" s="314"/>
      <c r="D12" s="314"/>
      <c r="E12" s="314"/>
      <c r="F12" s="191" t="s">
        <v>255</v>
      </c>
      <c r="G12" s="314"/>
      <c r="H12" s="314"/>
      <c r="I12" s="192">
        <v>4350000</v>
      </c>
      <c r="J12" s="192">
        <v>4350000</v>
      </c>
      <c r="K12" s="192"/>
      <c r="L12" s="192"/>
      <c r="M12" s="192"/>
      <c r="N12" s="192"/>
      <c r="O12" s="192"/>
      <c r="P12" s="192"/>
      <c r="Q12" s="192"/>
      <c r="R12" s="340"/>
    </row>
    <row r="13" spans="1:18" s="179" customFormat="1" ht="54" customHeight="1">
      <c r="A13" s="314"/>
      <c r="B13" s="314"/>
      <c r="C13" s="314"/>
      <c r="D13" s="314"/>
      <c r="E13" s="314"/>
      <c r="F13" s="191" t="s">
        <v>256</v>
      </c>
      <c r="G13" s="308"/>
      <c r="H13" s="308"/>
      <c r="I13" s="192">
        <v>5309400000</v>
      </c>
      <c r="J13" s="192">
        <v>900000000</v>
      </c>
      <c r="K13" s="192">
        <v>4409400000</v>
      </c>
      <c r="L13" s="192"/>
      <c r="M13" s="192">
        <f>N13+O13</f>
        <v>1769800000</v>
      </c>
      <c r="N13" s="192">
        <v>300000000</v>
      </c>
      <c r="O13" s="193">
        <v>1469800000</v>
      </c>
      <c r="P13" s="192">
        <v>300000000</v>
      </c>
      <c r="Q13" s="192">
        <f>P13</f>
        <v>300000000</v>
      </c>
      <c r="R13" s="340"/>
    </row>
    <row r="14" spans="1:18" s="184" customFormat="1" ht="27" customHeight="1">
      <c r="A14" s="308"/>
      <c r="B14" s="308"/>
      <c r="C14" s="308"/>
      <c r="D14" s="308"/>
      <c r="E14" s="308"/>
      <c r="F14" s="194" t="s">
        <v>257</v>
      </c>
      <c r="G14" s="195"/>
      <c r="H14" s="195"/>
      <c r="I14" s="196">
        <f>SUM(I10:I13)</f>
        <v>5564862000</v>
      </c>
      <c r="J14" s="196">
        <f>SUM(J10:J13)</f>
        <v>1155462000</v>
      </c>
      <c r="K14" s="196">
        <f>SUM(K13)</f>
        <v>4409400000</v>
      </c>
      <c r="L14" s="196">
        <f>479890000+362311000</f>
        <v>842201000</v>
      </c>
      <c r="M14" s="196">
        <f>SUM(M10:M13)</f>
        <v>1783061000</v>
      </c>
      <c r="N14" s="196">
        <f>SUM(N10:N13)</f>
        <v>313261000</v>
      </c>
      <c r="O14" s="196">
        <f>SUM(O13)</f>
        <v>1469800000</v>
      </c>
      <c r="P14" s="196">
        <f>SUM(P10:P13)</f>
        <v>313261000</v>
      </c>
      <c r="Q14" s="196">
        <f>SUM(Q10:Q13)</f>
        <v>313261000</v>
      </c>
      <c r="R14" s="341"/>
    </row>
    <row r="15" spans="1:18" s="179" customFormat="1" ht="39.75" customHeight="1">
      <c r="A15" s="307">
        <v>2</v>
      </c>
      <c r="B15" s="307" t="s">
        <v>258</v>
      </c>
      <c r="C15" s="307" t="s">
        <v>259</v>
      </c>
      <c r="D15" s="307" t="s">
        <v>260</v>
      </c>
      <c r="E15" s="307" t="s">
        <v>261</v>
      </c>
      <c r="F15" s="191" t="s">
        <v>252</v>
      </c>
      <c r="G15" s="307" t="s">
        <v>416</v>
      </c>
      <c r="H15" s="307" t="s">
        <v>262</v>
      </c>
      <c r="I15" s="192">
        <v>84483000</v>
      </c>
      <c r="J15" s="192">
        <v>84483000</v>
      </c>
      <c r="K15" s="192"/>
      <c r="L15" s="192"/>
      <c r="M15" s="192">
        <f>N15+O15</f>
        <v>13261000</v>
      </c>
      <c r="N15" s="192">
        <v>13261000</v>
      </c>
      <c r="O15" s="192"/>
      <c r="P15" s="192">
        <v>13261000</v>
      </c>
      <c r="Q15" s="192">
        <f>P15</f>
        <v>13261000</v>
      </c>
      <c r="R15" s="339" t="s">
        <v>434</v>
      </c>
    </row>
    <row r="16" spans="1:18" s="179" customFormat="1" ht="39.75" customHeight="1">
      <c r="A16" s="314"/>
      <c r="B16" s="314"/>
      <c r="C16" s="314"/>
      <c r="D16" s="314"/>
      <c r="E16" s="314"/>
      <c r="F16" s="191" t="s">
        <v>254</v>
      </c>
      <c r="G16" s="314"/>
      <c r="H16" s="314"/>
      <c r="I16" s="192">
        <v>166629000</v>
      </c>
      <c r="J16" s="192">
        <v>166629000</v>
      </c>
      <c r="K16" s="192"/>
      <c r="L16" s="192"/>
      <c r="M16" s="192"/>
      <c r="N16" s="192"/>
      <c r="O16" s="192"/>
      <c r="P16" s="192"/>
      <c r="Q16" s="192"/>
      <c r="R16" s="340"/>
    </row>
    <row r="17" spans="1:18" s="179" customFormat="1" ht="33.75" customHeight="1">
      <c r="A17" s="314"/>
      <c r="B17" s="314"/>
      <c r="C17" s="314"/>
      <c r="D17" s="314"/>
      <c r="E17" s="314"/>
      <c r="F17" s="191" t="s">
        <v>255</v>
      </c>
      <c r="G17" s="314"/>
      <c r="H17" s="314"/>
      <c r="I17" s="192">
        <v>4350000</v>
      </c>
      <c r="J17" s="192">
        <v>4350000</v>
      </c>
      <c r="K17" s="192"/>
      <c r="L17" s="192"/>
      <c r="M17" s="192"/>
      <c r="N17" s="192"/>
      <c r="O17" s="192"/>
      <c r="P17" s="192"/>
      <c r="Q17" s="192"/>
      <c r="R17" s="340"/>
    </row>
    <row r="18" spans="1:18" s="179" customFormat="1" ht="55.5" customHeight="1">
      <c r="A18" s="314"/>
      <c r="B18" s="314"/>
      <c r="C18" s="314"/>
      <c r="D18" s="314"/>
      <c r="E18" s="314"/>
      <c r="F18" s="191" t="s">
        <v>256</v>
      </c>
      <c r="G18" s="308"/>
      <c r="H18" s="308"/>
      <c r="I18" s="192">
        <v>5309400000</v>
      </c>
      <c r="J18" s="192">
        <v>900000000</v>
      </c>
      <c r="K18" s="192">
        <v>4409400000</v>
      </c>
      <c r="L18" s="192"/>
      <c r="M18" s="192">
        <f>N18+O18</f>
        <v>1769800000</v>
      </c>
      <c r="N18" s="192">
        <v>300000000</v>
      </c>
      <c r="O18" s="197">
        <v>1469800000</v>
      </c>
      <c r="P18" s="192">
        <v>300000000</v>
      </c>
      <c r="Q18" s="192">
        <f>P18</f>
        <v>300000000</v>
      </c>
      <c r="R18" s="340"/>
    </row>
    <row r="19" spans="1:18" s="184" customFormat="1" ht="30.75" customHeight="1">
      <c r="A19" s="308"/>
      <c r="B19" s="308"/>
      <c r="C19" s="308"/>
      <c r="D19" s="308"/>
      <c r="E19" s="308"/>
      <c r="F19" s="194" t="s">
        <v>257</v>
      </c>
      <c r="G19" s="195"/>
      <c r="H19" s="195"/>
      <c r="I19" s="196">
        <f>SUM(I15:I18)</f>
        <v>5564862000</v>
      </c>
      <c r="J19" s="196">
        <f>SUM(J15:J18)</f>
        <v>1155462000</v>
      </c>
      <c r="K19" s="196">
        <f>SUM(K18)</f>
        <v>4409400000</v>
      </c>
      <c r="L19" s="196">
        <f>479890000+362311000</f>
        <v>842201000</v>
      </c>
      <c r="M19" s="196">
        <f>SUM(M15:M18)</f>
        <v>1783061000</v>
      </c>
      <c r="N19" s="196">
        <f>SUM(N15:N18)</f>
        <v>313261000</v>
      </c>
      <c r="O19" s="196">
        <f>SUM(O18)</f>
        <v>1469800000</v>
      </c>
      <c r="P19" s="196">
        <f>SUM(P15:P18)</f>
        <v>313261000</v>
      </c>
      <c r="Q19" s="196">
        <f>SUM(Q15:Q18)</f>
        <v>313261000</v>
      </c>
      <c r="R19" s="341"/>
    </row>
    <row r="20" spans="1:18" s="200" customFormat="1" ht="30.75" customHeight="1">
      <c r="A20" s="198" t="s">
        <v>68</v>
      </c>
      <c r="B20" s="323" t="s">
        <v>263</v>
      </c>
      <c r="C20" s="324"/>
      <c r="D20" s="325"/>
      <c r="E20" s="198"/>
      <c r="F20" s="194"/>
      <c r="G20" s="195"/>
      <c r="H20" s="195"/>
      <c r="I20" s="188">
        <f t="shared" ref="I20:Q20" si="2">I21+I31+I35+I46+I64+I79+I88</f>
        <v>27864677150</v>
      </c>
      <c r="J20" s="188">
        <f t="shared" si="2"/>
        <v>13099983280</v>
      </c>
      <c r="K20" s="188">
        <f t="shared" si="2"/>
        <v>14764693870</v>
      </c>
      <c r="L20" s="188">
        <f t="shared" si="2"/>
        <v>8803008120</v>
      </c>
      <c r="M20" s="188">
        <f t="shared" si="2"/>
        <v>7995306700</v>
      </c>
      <c r="N20" s="188">
        <f t="shared" si="2"/>
        <v>3820206110</v>
      </c>
      <c r="O20" s="188">
        <f t="shared" si="2"/>
        <v>4175100590</v>
      </c>
      <c r="P20" s="188">
        <f t="shared" si="2"/>
        <v>3820206110</v>
      </c>
      <c r="Q20" s="188">
        <f t="shared" si="2"/>
        <v>3820203000</v>
      </c>
      <c r="R20" s="199"/>
    </row>
    <row r="21" spans="1:18" s="178" customFormat="1" ht="30.75" customHeight="1">
      <c r="A21" s="185" t="s">
        <v>42</v>
      </c>
      <c r="B21" s="342" t="s">
        <v>264</v>
      </c>
      <c r="C21" s="342"/>
      <c r="D21" s="342"/>
      <c r="E21" s="185"/>
      <c r="F21" s="185"/>
      <c r="G21" s="185"/>
      <c r="H21" s="185"/>
      <c r="I21" s="188">
        <f t="shared" ref="I21:Q21" si="3">+I26+I30</f>
        <v>2859260300</v>
      </c>
      <c r="J21" s="188">
        <f t="shared" si="3"/>
        <v>1766046600</v>
      </c>
      <c r="K21" s="188">
        <f t="shared" si="3"/>
        <v>1093213700</v>
      </c>
      <c r="L21" s="188">
        <f>+L26+L30</f>
        <v>1248646800</v>
      </c>
      <c r="M21" s="188">
        <f t="shared" si="3"/>
        <v>795614300</v>
      </c>
      <c r="N21" s="188">
        <f t="shared" si="3"/>
        <v>485947400</v>
      </c>
      <c r="O21" s="188">
        <f t="shared" si="3"/>
        <v>309666900</v>
      </c>
      <c r="P21" s="188">
        <f t="shared" si="3"/>
        <v>485947400</v>
      </c>
      <c r="Q21" s="188">
        <f t="shared" si="3"/>
        <v>485947000</v>
      </c>
      <c r="R21" s="201"/>
    </row>
    <row r="22" spans="1:18" s="179" customFormat="1" ht="39.75" customHeight="1">
      <c r="A22" s="307" t="s">
        <v>146</v>
      </c>
      <c r="B22" s="307" t="s">
        <v>265</v>
      </c>
      <c r="C22" s="307" t="s">
        <v>266</v>
      </c>
      <c r="D22" s="307" t="s">
        <v>267</v>
      </c>
      <c r="E22" s="307" t="s">
        <v>268</v>
      </c>
      <c r="F22" s="191" t="s">
        <v>252</v>
      </c>
      <c r="G22" s="307" t="s">
        <v>415</v>
      </c>
      <c r="H22" s="307" t="s">
        <v>417</v>
      </c>
      <c r="I22" s="192">
        <f>J22</f>
        <v>100000000</v>
      </c>
      <c r="J22" s="192">
        <v>100000000</v>
      </c>
      <c r="K22" s="192"/>
      <c r="L22" s="192"/>
      <c r="M22" s="192">
        <f>N22</f>
        <v>20000000</v>
      </c>
      <c r="N22" s="192">
        <v>20000000</v>
      </c>
      <c r="O22" s="192"/>
      <c r="P22" s="192">
        <f>N22</f>
        <v>20000000</v>
      </c>
      <c r="Q22" s="192">
        <f>P22</f>
        <v>20000000</v>
      </c>
      <c r="R22" s="343" t="s">
        <v>269</v>
      </c>
    </row>
    <row r="23" spans="1:18" s="179" customFormat="1" ht="35.25" customHeight="1">
      <c r="A23" s="314"/>
      <c r="B23" s="314"/>
      <c r="C23" s="314"/>
      <c r="D23" s="314"/>
      <c r="E23" s="314"/>
      <c r="F23" s="191" t="s">
        <v>255</v>
      </c>
      <c r="G23" s="314"/>
      <c r="H23" s="314"/>
      <c r="I23" s="192">
        <f>J23</f>
        <v>30000000</v>
      </c>
      <c r="J23" s="192">
        <v>30000000</v>
      </c>
      <c r="K23" s="192"/>
      <c r="L23" s="192"/>
      <c r="M23" s="192"/>
      <c r="N23" s="192"/>
      <c r="O23" s="192"/>
      <c r="P23" s="192"/>
      <c r="Q23" s="192"/>
      <c r="R23" s="340"/>
    </row>
    <row r="24" spans="1:18" s="179" customFormat="1" ht="54" customHeight="1">
      <c r="A24" s="314"/>
      <c r="B24" s="314"/>
      <c r="C24" s="314"/>
      <c r="D24" s="314"/>
      <c r="E24" s="314"/>
      <c r="F24" s="191" t="s">
        <v>256</v>
      </c>
      <c r="G24" s="314"/>
      <c r="H24" s="314"/>
      <c r="I24" s="192">
        <f>J24+K24</f>
        <v>1647000000</v>
      </c>
      <c r="J24" s="192">
        <v>900000000</v>
      </c>
      <c r="K24" s="192">
        <v>747000000</v>
      </c>
      <c r="L24" s="192"/>
      <c r="M24" s="192">
        <f>N24+O24</f>
        <v>549000000</v>
      </c>
      <c r="N24" s="192">
        <v>300000000</v>
      </c>
      <c r="O24" s="202">
        <v>249000000</v>
      </c>
      <c r="P24" s="192">
        <f>N24</f>
        <v>300000000</v>
      </c>
      <c r="Q24" s="192">
        <f>P24</f>
        <v>300000000</v>
      </c>
      <c r="R24" s="340"/>
    </row>
    <row r="25" spans="1:18" s="179" customFormat="1" ht="43.5" customHeight="1">
      <c r="A25" s="314"/>
      <c r="B25" s="314"/>
      <c r="C25" s="314"/>
      <c r="D25" s="314"/>
      <c r="E25" s="314"/>
      <c r="F25" s="203" t="s">
        <v>270</v>
      </c>
      <c r="G25" s="308"/>
      <c r="H25" s="308"/>
      <c r="I25" s="192">
        <f>J25+K25</f>
        <v>364213000</v>
      </c>
      <c r="J25" s="192">
        <v>200000000</v>
      </c>
      <c r="K25" s="192">
        <v>164213000</v>
      </c>
      <c r="L25" s="192"/>
      <c r="M25" s="192"/>
      <c r="N25" s="192"/>
      <c r="O25" s="204"/>
      <c r="P25" s="192"/>
      <c r="Q25" s="192"/>
      <c r="R25" s="341"/>
    </row>
    <row r="26" spans="1:18" s="184" customFormat="1" ht="28.5" customHeight="1">
      <c r="A26" s="308"/>
      <c r="B26" s="308"/>
      <c r="C26" s="308"/>
      <c r="D26" s="308"/>
      <c r="E26" s="308"/>
      <c r="F26" s="194" t="s">
        <v>257</v>
      </c>
      <c r="G26" s="195"/>
      <c r="H26" s="195"/>
      <c r="I26" s="196">
        <f>SUM(I22:I25)</f>
        <v>2141213000</v>
      </c>
      <c r="J26" s="196">
        <f t="shared" ref="J26:P26" si="4">SUM(J22:J25)</f>
        <v>1230000000</v>
      </c>
      <c r="K26" s="196">
        <f t="shared" si="4"/>
        <v>911213000</v>
      </c>
      <c r="L26" s="196">
        <f>350000000+560000000</f>
        <v>910000000</v>
      </c>
      <c r="M26" s="196">
        <f>SUM(M22:M25)</f>
        <v>569000000</v>
      </c>
      <c r="N26" s="196">
        <f t="shared" si="4"/>
        <v>320000000</v>
      </c>
      <c r="O26" s="196">
        <f t="shared" si="4"/>
        <v>249000000</v>
      </c>
      <c r="P26" s="196">
        <f t="shared" si="4"/>
        <v>320000000</v>
      </c>
      <c r="Q26" s="196">
        <f>P26</f>
        <v>320000000</v>
      </c>
      <c r="R26" s="205"/>
    </row>
    <row r="27" spans="1:18" s="179" customFormat="1" ht="60.75" customHeight="1">
      <c r="A27" s="307" t="s">
        <v>148</v>
      </c>
      <c r="B27" s="307" t="s">
        <v>271</v>
      </c>
      <c r="C27" s="307" t="s">
        <v>272</v>
      </c>
      <c r="D27" s="307" t="s">
        <v>273</v>
      </c>
      <c r="E27" s="307" t="s">
        <v>274</v>
      </c>
      <c r="F27" s="191" t="s">
        <v>252</v>
      </c>
      <c r="G27" s="307" t="s">
        <v>418</v>
      </c>
      <c r="H27" s="307" t="s">
        <v>419</v>
      </c>
      <c r="I27" s="192">
        <f>J27</f>
        <v>93378300</v>
      </c>
      <c r="J27" s="192">
        <v>93378300</v>
      </c>
      <c r="K27" s="192"/>
      <c r="L27" s="192"/>
      <c r="M27" s="192">
        <f>SUM(N27:O27)</f>
        <v>24391300</v>
      </c>
      <c r="N27" s="192">
        <v>24391300</v>
      </c>
      <c r="O27" s="192"/>
      <c r="P27" s="192">
        <f>N27</f>
        <v>24391300</v>
      </c>
      <c r="Q27" s="192">
        <v>24391000</v>
      </c>
      <c r="R27" s="339" t="s">
        <v>432</v>
      </c>
    </row>
    <row r="28" spans="1:18" s="179" customFormat="1" ht="54.75" customHeight="1">
      <c r="A28" s="314"/>
      <c r="B28" s="314"/>
      <c r="C28" s="314"/>
      <c r="D28" s="314"/>
      <c r="E28" s="314"/>
      <c r="F28" s="191" t="s">
        <v>255</v>
      </c>
      <c r="G28" s="314"/>
      <c r="H28" s="314"/>
      <c r="I28" s="192"/>
      <c r="J28" s="192"/>
      <c r="K28" s="192"/>
      <c r="L28" s="192"/>
      <c r="M28" s="192">
        <f>SUM(N28:O28)</f>
        <v>0</v>
      </c>
      <c r="N28" s="192"/>
      <c r="O28" s="192"/>
      <c r="P28" s="192">
        <f>N28</f>
        <v>0</v>
      </c>
      <c r="Q28" s="192"/>
      <c r="R28" s="340"/>
    </row>
    <row r="29" spans="1:18" s="179" customFormat="1" ht="84" customHeight="1">
      <c r="A29" s="314"/>
      <c r="B29" s="314"/>
      <c r="C29" s="314"/>
      <c r="D29" s="314"/>
      <c r="E29" s="314"/>
      <c r="F29" s="191" t="s">
        <v>256</v>
      </c>
      <c r="G29" s="308"/>
      <c r="H29" s="308"/>
      <c r="I29" s="192">
        <f>J29+K29</f>
        <v>624669000</v>
      </c>
      <c r="J29" s="192">
        <v>442668300</v>
      </c>
      <c r="K29" s="192">
        <v>182000700</v>
      </c>
      <c r="L29" s="192"/>
      <c r="M29" s="192">
        <f>+N29+O29</f>
        <v>202223000</v>
      </c>
      <c r="N29" s="192">
        <v>141556100</v>
      </c>
      <c r="O29" s="192">
        <v>60666900</v>
      </c>
      <c r="P29" s="192">
        <f>+N29</f>
        <v>141556100</v>
      </c>
      <c r="Q29" s="192">
        <v>141556000</v>
      </c>
      <c r="R29" s="340"/>
    </row>
    <row r="30" spans="1:18" s="184" customFormat="1" ht="31.5" customHeight="1">
      <c r="A30" s="308"/>
      <c r="B30" s="308"/>
      <c r="C30" s="308"/>
      <c r="D30" s="308"/>
      <c r="E30" s="308"/>
      <c r="F30" s="194" t="s">
        <v>257</v>
      </c>
      <c r="G30" s="206"/>
      <c r="H30" s="206"/>
      <c r="I30" s="196">
        <f>I29+I27</f>
        <v>718047300</v>
      </c>
      <c r="J30" s="196">
        <f>J29+J27</f>
        <v>536046600</v>
      </c>
      <c r="K30" s="196">
        <f>K29+K27</f>
        <v>182000700</v>
      </c>
      <c r="L30" s="196">
        <v>338646800</v>
      </c>
      <c r="M30" s="196">
        <f>SUM(M27:M29)</f>
        <v>226614300</v>
      </c>
      <c r="N30" s="196">
        <f>SUM(N27:N29)</f>
        <v>165947400</v>
      </c>
      <c r="O30" s="196">
        <f>SUM(O27:O29)</f>
        <v>60666900</v>
      </c>
      <c r="P30" s="196">
        <f>SUM(P27:P29)</f>
        <v>165947400</v>
      </c>
      <c r="Q30" s="196">
        <f>SUM(Q27:Q29)</f>
        <v>165947000</v>
      </c>
      <c r="R30" s="341"/>
    </row>
    <row r="31" spans="1:18" s="200" customFormat="1" ht="33" customHeight="1">
      <c r="A31" s="185">
        <v>2</v>
      </c>
      <c r="B31" s="342" t="s">
        <v>275</v>
      </c>
      <c r="C31" s="342"/>
      <c r="D31" s="342"/>
      <c r="E31" s="185"/>
      <c r="F31" s="207"/>
      <c r="G31" s="208"/>
      <c r="H31" s="208"/>
      <c r="I31" s="196">
        <f t="shared" ref="I31:Q31" si="5">+I34</f>
        <v>3192000000</v>
      </c>
      <c r="J31" s="196">
        <f t="shared" si="5"/>
        <v>1440000000</v>
      </c>
      <c r="K31" s="196">
        <f t="shared" si="5"/>
        <v>1752000000</v>
      </c>
      <c r="L31" s="196">
        <f t="shared" si="5"/>
        <v>1053000000</v>
      </c>
      <c r="M31" s="196">
        <f t="shared" si="5"/>
        <v>464000000</v>
      </c>
      <c r="N31" s="196">
        <f t="shared" si="5"/>
        <v>300000000</v>
      </c>
      <c r="O31" s="196">
        <f t="shared" si="5"/>
        <v>164000000</v>
      </c>
      <c r="P31" s="196">
        <f t="shared" si="5"/>
        <v>300000000</v>
      </c>
      <c r="Q31" s="196">
        <f t="shared" si="5"/>
        <v>300000000</v>
      </c>
      <c r="R31" s="209"/>
    </row>
    <row r="32" spans="1:18" s="179" customFormat="1" ht="93" customHeight="1">
      <c r="A32" s="307" t="s">
        <v>191</v>
      </c>
      <c r="B32" s="307" t="s">
        <v>276</v>
      </c>
      <c r="C32" s="307" t="s">
        <v>277</v>
      </c>
      <c r="D32" s="307" t="s">
        <v>278</v>
      </c>
      <c r="E32" s="307" t="s">
        <v>279</v>
      </c>
      <c r="F32" s="191" t="s">
        <v>280</v>
      </c>
      <c r="G32" s="307" t="s">
        <v>418</v>
      </c>
      <c r="H32" s="307" t="s">
        <v>420</v>
      </c>
      <c r="I32" s="188">
        <f>J32+K32</f>
        <v>1800000000</v>
      </c>
      <c r="J32" s="192">
        <v>540000000</v>
      </c>
      <c r="K32" s="192">
        <v>1260000000</v>
      </c>
      <c r="L32" s="192"/>
      <c r="M32" s="188">
        <f>N32+O32</f>
        <v>0</v>
      </c>
      <c r="N32" s="210">
        <v>0</v>
      </c>
      <c r="O32" s="210">
        <v>0</v>
      </c>
      <c r="P32" s="210">
        <f>N32</f>
        <v>0</v>
      </c>
      <c r="Q32" s="210"/>
      <c r="R32" s="357" t="s">
        <v>281</v>
      </c>
    </row>
    <row r="33" spans="1:18" s="179" customFormat="1" ht="78" customHeight="1">
      <c r="A33" s="314"/>
      <c r="B33" s="314"/>
      <c r="C33" s="314"/>
      <c r="D33" s="314"/>
      <c r="E33" s="314"/>
      <c r="F33" s="191" t="s">
        <v>282</v>
      </c>
      <c r="G33" s="314"/>
      <c r="H33" s="314"/>
      <c r="I33" s="188">
        <f>J33+K33</f>
        <v>1392000000</v>
      </c>
      <c r="J33" s="192">
        <v>900000000</v>
      </c>
      <c r="K33" s="192">
        <v>492000000</v>
      </c>
      <c r="L33" s="192"/>
      <c r="M33" s="188">
        <f>N33+O33</f>
        <v>464000000</v>
      </c>
      <c r="N33" s="192">
        <v>300000000</v>
      </c>
      <c r="O33" s="192">
        <v>164000000</v>
      </c>
      <c r="P33" s="192">
        <v>300000000</v>
      </c>
      <c r="Q33" s="192">
        <f>P33</f>
        <v>300000000</v>
      </c>
      <c r="R33" s="357"/>
    </row>
    <row r="34" spans="1:18" s="184" customFormat="1" ht="43.5" customHeight="1">
      <c r="A34" s="308"/>
      <c r="B34" s="308"/>
      <c r="C34" s="308"/>
      <c r="D34" s="308"/>
      <c r="E34" s="308"/>
      <c r="F34" s="194" t="s">
        <v>257</v>
      </c>
      <c r="G34" s="308"/>
      <c r="H34" s="308"/>
      <c r="I34" s="196">
        <f t="shared" ref="I34:P34" si="6">I32+I33</f>
        <v>3192000000</v>
      </c>
      <c r="J34" s="196">
        <f t="shared" si="6"/>
        <v>1440000000</v>
      </c>
      <c r="K34" s="196">
        <f t="shared" si="6"/>
        <v>1752000000</v>
      </c>
      <c r="L34" s="196">
        <f>498000000+555000000</f>
        <v>1053000000</v>
      </c>
      <c r="M34" s="196">
        <f t="shared" si="6"/>
        <v>464000000</v>
      </c>
      <c r="N34" s="196">
        <f t="shared" si="6"/>
        <v>300000000</v>
      </c>
      <c r="O34" s="196">
        <f t="shared" si="6"/>
        <v>164000000</v>
      </c>
      <c r="P34" s="196">
        <f t="shared" si="6"/>
        <v>300000000</v>
      </c>
      <c r="Q34" s="196">
        <f>P34</f>
        <v>300000000</v>
      </c>
      <c r="R34" s="357"/>
    </row>
    <row r="35" spans="1:18" s="190" customFormat="1" ht="30" customHeight="1">
      <c r="A35" s="185">
        <v>3</v>
      </c>
      <c r="B35" s="323" t="s">
        <v>283</v>
      </c>
      <c r="C35" s="324"/>
      <c r="D35" s="325"/>
      <c r="E35" s="186"/>
      <c r="F35" s="187"/>
      <c r="G35" s="187"/>
      <c r="H35" s="187"/>
      <c r="I35" s="188">
        <f t="shared" ref="I35:Q35" si="7">+I40+I45</f>
        <v>7176124750</v>
      </c>
      <c r="J35" s="188">
        <f t="shared" si="7"/>
        <v>2007734750</v>
      </c>
      <c r="K35" s="188">
        <f t="shared" si="7"/>
        <v>5168390000</v>
      </c>
      <c r="L35" s="188">
        <f t="shared" si="7"/>
        <v>1002854000</v>
      </c>
      <c r="M35" s="188">
        <f t="shared" si="7"/>
        <v>2056045900</v>
      </c>
      <c r="N35" s="188">
        <f t="shared" si="7"/>
        <v>661905900</v>
      </c>
      <c r="O35" s="188">
        <f t="shared" si="7"/>
        <v>1394140000</v>
      </c>
      <c r="P35" s="188">
        <f t="shared" si="7"/>
        <v>661905900</v>
      </c>
      <c r="Q35" s="188">
        <f t="shared" si="7"/>
        <v>661906000</v>
      </c>
      <c r="R35" s="211"/>
    </row>
    <row r="36" spans="1:18" s="179" customFormat="1" ht="36" customHeight="1">
      <c r="A36" s="307" t="s">
        <v>284</v>
      </c>
      <c r="B36" s="307" t="s">
        <v>285</v>
      </c>
      <c r="C36" s="307" t="s">
        <v>286</v>
      </c>
      <c r="D36" s="307" t="s">
        <v>287</v>
      </c>
      <c r="E36" s="307" t="s">
        <v>288</v>
      </c>
      <c r="F36" s="191" t="s">
        <v>252</v>
      </c>
      <c r="G36" s="307" t="s">
        <v>418</v>
      </c>
      <c r="H36" s="307" t="s">
        <v>421</v>
      </c>
      <c r="I36" s="192">
        <v>84483000</v>
      </c>
      <c r="J36" s="192">
        <f>I36</f>
        <v>84483000</v>
      </c>
      <c r="K36" s="192">
        <v>0</v>
      </c>
      <c r="L36" s="192"/>
      <c r="M36" s="192">
        <v>13261000</v>
      </c>
      <c r="N36" s="212">
        <f>M36</f>
        <v>13261000</v>
      </c>
      <c r="O36" s="212"/>
      <c r="P36" s="212">
        <f>N36</f>
        <v>13261000</v>
      </c>
      <c r="Q36" s="212">
        <f>P36</f>
        <v>13261000</v>
      </c>
      <c r="R36" s="345" t="s">
        <v>289</v>
      </c>
    </row>
    <row r="37" spans="1:18" s="179" customFormat="1" ht="44.25" customHeight="1">
      <c r="A37" s="314"/>
      <c r="B37" s="314"/>
      <c r="C37" s="314"/>
      <c r="D37" s="314"/>
      <c r="E37" s="314"/>
      <c r="F37" s="191" t="s">
        <v>255</v>
      </c>
      <c r="G37" s="314"/>
      <c r="H37" s="314"/>
      <c r="I37" s="192">
        <v>2900000</v>
      </c>
      <c r="J37" s="192">
        <f>I37</f>
        <v>2900000</v>
      </c>
      <c r="K37" s="192">
        <v>0</v>
      </c>
      <c r="L37" s="192"/>
      <c r="M37" s="192">
        <v>0</v>
      </c>
      <c r="N37" s="212"/>
      <c r="O37" s="212"/>
      <c r="P37" s="212"/>
      <c r="Q37" s="212"/>
      <c r="R37" s="346"/>
    </row>
    <row r="38" spans="1:18" s="179" customFormat="1" ht="44.25" customHeight="1">
      <c r="A38" s="314"/>
      <c r="B38" s="314"/>
      <c r="C38" s="314"/>
      <c r="D38" s="314"/>
      <c r="E38" s="314"/>
      <c r="F38" s="191" t="s">
        <v>290</v>
      </c>
      <c r="G38" s="314"/>
      <c r="H38" s="314"/>
      <c r="I38" s="192">
        <v>4697400000</v>
      </c>
      <c r="J38" s="192">
        <v>900000000</v>
      </c>
      <c r="K38" s="192">
        <v>3797400000</v>
      </c>
      <c r="L38" s="192"/>
      <c r="M38" s="192">
        <f>N38+O38</f>
        <v>1565800000</v>
      </c>
      <c r="N38" s="212">
        <v>300000000</v>
      </c>
      <c r="O38" s="202">
        <v>1265800000</v>
      </c>
      <c r="P38" s="212">
        <f>N38</f>
        <v>300000000</v>
      </c>
      <c r="Q38" s="212">
        <f>P38</f>
        <v>300000000</v>
      </c>
      <c r="R38" s="346"/>
    </row>
    <row r="39" spans="1:18" s="179" customFormat="1" ht="44.25" customHeight="1">
      <c r="A39" s="314"/>
      <c r="B39" s="314"/>
      <c r="C39" s="314"/>
      <c r="D39" s="314"/>
      <c r="E39" s="314"/>
      <c r="F39" s="203" t="s">
        <v>291</v>
      </c>
      <c r="G39" s="314"/>
      <c r="H39" s="314"/>
      <c r="I39" s="192">
        <v>72300000</v>
      </c>
      <c r="J39" s="192">
        <v>21690000</v>
      </c>
      <c r="K39" s="192">
        <v>50610000</v>
      </c>
      <c r="L39" s="192"/>
      <c r="M39" s="192">
        <v>0</v>
      </c>
      <c r="N39" s="212"/>
      <c r="O39" s="213"/>
      <c r="P39" s="212"/>
      <c r="Q39" s="212"/>
      <c r="R39" s="346"/>
    </row>
    <row r="40" spans="1:18" s="184" customFormat="1" ht="32.25" customHeight="1">
      <c r="A40" s="308"/>
      <c r="B40" s="308"/>
      <c r="C40" s="308"/>
      <c r="D40" s="308"/>
      <c r="E40" s="308"/>
      <c r="F40" s="194" t="s">
        <v>257</v>
      </c>
      <c r="G40" s="308"/>
      <c r="H40" s="308"/>
      <c r="I40" s="196">
        <f>SUM(I36:I39)</f>
        <v>4857083000</v>
      </c>
      <c r="J40" s="196">
        <f t="shared" ref="J40:P40" si="8">SUM(J36:J39)</f>
        <v>1009073000</v>
      </c>
      <c r="K40" s="196">
        <f t="shared" si="8"/>
        <v>3848010000</v>
      </c>
      <c r="L40" s="196">
        <f>313261000+382551000</f>
        <v>695812000</v>
      </c>
      <c r="M40" s="196">
        <f t="shared" si="8"/>
        <v>1579061000</v>
      </c>
      <c r="N40" s="196">
        <f t="shared" si="8"/>
        <v>313261000</v>
      </c>
      <c r="O40" s="196">
        <f t="shared" si="8"/>
        <v>1265800000</v>
      </c>
      <c r="P40" s="196">
        <f t="shared" si="8"/>
        <v>313261000</v>
      </c>
      <c r="Q40" s="196">
        <f>SUM(Q36:Q39)</f>
        <v>313261000</v>
      </c>
      <c r="R40" s="347"/>
    </row>
    <row r="41" spans="1:18" s="179" customFormat="1" ht="47.25" customHeight="1">
      <c r="A41" s="307" t="s">
        <v>292</v>
      </c>
      <c r="B41" s="307" t="s">
        <v>293</v>
      </c>
      <c r="C41" s="307" t="s">
        <v>294</v>
      </c>
      <c r="D41" s="307" t="s">
        <v>295</v>
      </c>
      <c r="E41" s="307" t="s">
        <v>296</v>
      </c>
      <c r="F41" s="191" t="s">
        <v>252</v>
      </c>
      <c r="G41" s="307" t="s">
        <v>418</v>
      </c>
      <c r="H41" s="307" t="s">
        <v>422</v>
      </c>
      <c r="I41" s="192">
        <v>135701750</v>
      </c>
      <c r="J41" s="192">
        <f>I41</f>
        <v>135701750</v>
      </c>
      <c r="K41" s="192"/>
      <c r="L41" s="192"/>
      <c r="M41" s="192">
        <v>49184900</v>
      </c>
      <c r="N41" s="192">
        <f>M41</f>
        <v>49184900</v>
      </c>
      <c r="O41" s="192"/>
      <c r="P41" s="192">
        <f>N41</f>
        <v>49184900</v>
      </c>
      <c r="Q41" s="192">
        <v>49185000</v>
      </c>
      <c r="R41" s="343" t="s">
        <v>431</v>
      </c>
    </row>
    <row r="42" spans="1:18" s="179" customFormat="1" ht="49.5" customHeight="1">
      <c r="A42" s="314"/>
      <c r="B42" s="314"/>
      <c r="C42" s="314"/>
      <c r="D42" s="314"/>
      <c r="E42" s="314"/>
      <c r="F42" s="191" t="s">
        <v>255</v>
      </c>
      <c r="G42" s="314"/>
      <c r="H42" s="314"/>
      <c r="I42" s="192">
        <v>0</v>
      </c>
      <c r="J42" s="192"/>
      <c r="K42" s="192"/>
      <c r="L42" s="192"/>
      <c r="M42" s="192"/>
      <c r="N42" s="192"/>
      <c r="O42" s="192"/>
      <c r="P42" s="192"/>
      <c r="Q42" s="192"/>
      <c r="R42" s="340"/>
    </row>
    <row r="43" spans="1:18" s="179" customFormat="1" ht="70.5" customHeight="1">
      <c r="A43" s="314"/>
      <c r="B43" s="314"/>
      <c r="C43" s="314"/>
      <c r="D43" s="314"/>
      <c r="E43" s="314"/>
      <c r="F43" s="191" t="s">
        <v>256</v>
      </c>
      <c r="G43" s="314"/>
      <c r="H43" s="314"/>
      <c r="I43" s="192">
        <v>1945340000</v>
      </c>
      <c r="J43" s="192">
        <v>791560000</v>
      </c>
      <c r="K43" s="192">
        <v>1153780000</v>
      </c>
      <c r="L43" s="192"/>
      <c r="M43" s="192">
        <f>N43+O43</f>
        <v>427800000</v>
      </c>
      <c r="N43" s="192">
        <v>299460000</v>
      </c>
      <c r="O43" s="192">
        <v>128340000</v>
      </c>
      <c r="P43" s="192">
        <f>N43</f>
        <v>299460000</v>
      </c>
      <c r="Q43" s="192">
        <f>P43</f>
        <v>299460000</v>
      </c>
      <c r="R43" s="340"/>
    </row>
    <row r="44" spans="1:18" s="179" customFormat="1" ht="54" customHeight="1">
      <c r="A44" s="314"/>
      <c r="B44" s="314"/>
      <c r="C44" s="314"/>
      <c r="D44" s="314"/>
      <c r="E44" s="314"/>
      <c r="F44" s="203" t="s">
        <v>291</v>
      </c>
      <c r="G44" s="314"/>
      <c r="H44" s="314"/>
      <c r="I44" s="192">
        <v>238000000</v>
      </c>
      <c r="J44" s="192">
        <v>71400000</v>
      </c>
      <c r="K44" s="192">
        <v>166600000</v>
      </c>
      <c r="L44" s="192"/>
      <c r="M44" s="192"/>
      <c r="N44" s="192"/>
      <c r="O44" s="192"/>
      <c r="P44" s="192"/>
      <c r="Q44" s="192"/>
      <c r="R44" s="340"/>
    </row>
    <row r="45" spans="1:18" s="184" customFormat="1" ht="37.5" customHeight="1">
      <c r="A45" s="308"/>
      <c r="B45" s="308"/>
      <c r="C45" s="308"/>
      <c r="D45" s="308"/>
      <c r="E45" s="308"/>
      <c r="F45" s="194" t="s">
        <v>257</v>
      </c>
      <c r="G45" s="308"/>
      <c r="H45" s="308"/>
      <c r="I45" s="196">
        <f t="shared" ref="I45:Q45" si="9">SUM(I41:I44)</f>
        <v>2319041750</v>
      </c>
      <c r="J45" s="196">
        <f t="shared" si="9"/>
        <v>998661750</v>
      </c>
      <c r="K45" s="196">
        <f t="shared" si="9"/>
        <v>1320380000</v>
      </c>
      <c r="L45" s="196">
        <f>307042000</f>
        <v>307042000</v>
      </c>
      <c r="M45" s="196">
        <f t="shared" si="9"/>
        <v>476984900</v>
      </c>
      <c r="N45" s="196">
        <f>SUM(N41:N44)</f>
        <v>348644900</v>
      </c>
      <c r="O45" s="196">
        <f t="shared" si="9"/>
        <v>128340000</v>
      </c>
      <c r="P45" s="196">
        <f t="shared" si="9"/>
        <v>348644900</v>
      </c>
      <c r="Q45" s="196">
        <f t="shared" si="9"/>
        <v>348645000</v>
      </c>
      <c r="R45" s="341"/>
    </row>
    <row r="46" spans="1:18" s="190" customFormat="1" ht="31.5" customHeight="1">
      <c r="A46" s="178">
        <v>4</v>
      </c>
      <c r="B46" s="323" t="s">
        <v>297</v>
      </c>
      <c r="C46" s="324"/>
      <c r="D46" s="325"/>
      <c r="E46" s="186"/>
      <c r="F46" s="187"/>
      <c r="G46" s="187"/>
      <c r="H46" s="187"/>
      <c r="I46" s="188">
        <f t="shared" ref="I46:Q46" si="10">+I51+I57+I63</f>
        <v>6104431600</v>
      </c>
      <c r="J46" s="188">
        <f t="shared" si="10"/>
        <v>3467589430</v>
      </c>
      <c r="K46" s="188">
        <f t="shared" si="10"/>
        <v>2636842170</v>
      </c>
      <c r="L46" s="188">
        <f t="shared" si="10"/>
        <v>2403133120</v>
      </c>
      <c r="M46" s="188">
        <f t="shared" si="10"/>
        <v>1947915000</v>
      </c>
      <c r="N46" s="188">
        <f t="shared" si="10"/>
        <v>1064456310</v>
      </c>
      <c r="O46" s="188">
        <f t="shared" si="10"/>
        <v>883458690</v>
      </c>
      <c r="P46" s="188">
        <f t="shared" si="10"/>
        <v>1064456310</v>
      </c>
      <c r="Q46" s="188">
        <f t="shared" si="10"/>
        <v>1064455000</v>
      </c>
      <c r="R46" s="189"/>
    </row>
    <row r="47" spans="1:18" s="179" customFormat="1" ht="48" customHeight="1">
      <c r="A47" s="307" t="s">
        <v>115</v>
      </c>
      <c r="B47" s="307" t="s">
        <v>298</v>
      </c>
      <c r="C47" s="307" t="s">
        <v>299</v>
      </c>
      <c r="D47" s="307" t="s">
        <v>300</v>
      </c>
      <c r="E47" s="307" t="s">
        <v>301</v>
      </c>
      <c r="F47" s="191" t="s">
        <v>252</v>
      </c>
      <c r="G47" s="307" t="s">
        <v>415</v>
      </c>
      <c r="H47" s="307" t="s">
        <v>423</v>
      </c>
      <c r="I47" s="192">
        <f>J47+K47</f>
        <v>74976800</v>
      </c>
      <c r="J47" s="192">
        <v>74976800</v>
      </c>
      <c r="K47" s="192">
        <v>0</v>
      </c>
      <c r="L47" s="192"/>
      <c r="M47" s="192">
        <f>N47+O47</f>
        <v>20264000</v>
      </c>
      <c r="N47" s="192">
        <v>20264000</v>
      </c>
      <c r="O47" s="192">
        <v>0</v>
      </c>
      <c r="P47" s="192">
        <f>N47</f>
        <v>20264000</v>
      </c>
      <c r="Q47" s="192">
        <f>P47</f>
        <v>20264000</v>
      </c>
      <c r="R47" s="343" t="s">
        <v>435</v>
      </c>
    </row>
    <row r="48" spans="1:18" s="179" customFormat="1" ht="48" customHeight="1">
      <c r="A48" s="314"/>
      <c r="B48" s="314"/>
      <c r="C48" s="314"/>
      <c r="D48" s="314"/>
      <c r="E48" s="314"/>
      <c r="F48" s="191" t="s">
        <v>302</v>
      </c>
      <c r="G48" s="314"/>
      <c r="H48" s="314"/>
      <c r="I48" s="192">
        <f>J48+K48</f>
        <v>9000000</v>
      </c>
      <c r="J48" s="192">
        <v>9000000</v>
      </c>
      <c r="K48" s="192">
        <v>0</v>
      </c>
      <c r="L48" s="192"/>
      <c r="M48" s="192">
        <f>N48+O48</f>
        <v>0</v>
      </c>
      <c r="N48" s="192">
        <v>0</v>
      </c>
      <c r="O48" s="192">
        <v>0</v>
      </c>
      <c r="P48" s="192">
        <f t="shared" ref="P48:P62" si="11">N48</f>
        <v>0</v>
      </c>
      <c r="Q48" s="192"/>
      <c r="R48" s="340"/>
    </row>
    <row r="49" spans="1:18" s="179" customFormat="1" ht="48" customHeight="1">
      <c r="A49" s="314"/>
      <c r="B49" s="314"/>
      <c r="C49" s="314"/>
      <c r="D49" s="314"/>
      <c r="E49" s="314"/>
      <c r="F49" s="191" t="s">
        <v>303</v>
      </c>
      <c r="G49" s="314"/>
      <c r="H49" s="314"/>
      <c r="I49" s="192">
        <f>J49+K49</f>
        <v>243800000</v>
      </c>
      <c r="J49" s="192">
        <v>172010000</v>
      </c>
      <c r="K49" s="192">
        <v>71790000</v>
      </c>
      <c r="L49" s="192"/>
      <c r="M49" s="192">
        <f>N49+O49</f>
        <v>0</v>
      </c>
      <c r="N49" s="192">
        <v>0</v>
      </c>
      <c r="O49" s="192">
        <v>0</v>
      </c>
      <c r="P49" s="192">
        <f t="shared" si="11"/>
        <v>0</v>
      </c>
      <c r="Q49" s="192"/>
      <c r="R49" s="340"/>
    </row>
    <row r="50" spans="1:18" s="179" customFormat="1" ht="63.75" customHeight="1">
      <c r="A50" s="314"/>
      <c r="B50" s="314"/>
      <c r="C50" s="314"/>
      <c r="D50" s="314"/>
      <c r="E50" s="314"/>
      <c r="F50" s="191" t="s">
        <v>304</v>
      </c>
      <c r="G50" s="308"/>
      <c r="H50" s="308"/>
      <c r="I50" s="192">
        <f>J50+K50</f>
        <v>1435800000</v>
      </c>
      <c r="J50" s="192">
        <v>900000000</v>
      </c>
      <c r="K50" s="192">
        <v>535800000</v>
      </c>
      <c r="L50" s="192"/>
      <c r="M50" s="192">
        <f>N50+O50</f>
        <v>478600000</v>
      </c>
      <c r="N50" s="192">
        <v>300000000</v>
      </c>
      <c r="O50" s="192">
        <v>178600000</v>
      </c>
      <c r="P50" s="192">
        <f t="shared" si="11"/>
        <v>300000000</v>
      </c>
      <c r="Q50" s="192">
        <f>P50</f>
        <v>300000000</v>
      </c>
      <c r="R50" s="341"/>
    </row>
    <row r="51" spans="1:18" s="184" customFormat="1" ht="32.25" customHeight="1">
      <c r="A51" s="308"/>
      <c r="B51" s="308"/>
      <c r="C51" s="308"/>
      <c r="D51" s="308"/>
      <c r="E51" s="308"/>
      <c r="F51" s="194" t="s">
        <v>257</v>
      </c>
      <c r="G51" s="195"/>
      <c r="H51" s="195"/>
      <c r="I51" s="196">
        <f>SUM(I47:I50)</f>
        <v>1763576800</v>
      </c>
      <c r="J51" s="196">
        <f t="shared" ref="J51:Q51" si="12">SUM(J47:J50)</f>
        <v>1155986800</v>
      </c>
      <c r="K51" s="196">
        <f t="shared" si="12"/>
        <v>607590000</v>
      </c>
      <c r="L51" s="196">
        <f>520643600+369792000-30396000-24316800</f>
        <v>835722800</v>
      </c>
      <c r="M51" s="196">
        <f t="shared" si="12"/>
        <v>498864000</v>
      </c>
      <c r="N51" s="196">
        <f t="shared" si="12"/>
        <v>320264000</v>
      </c>
      <c r="O51" s="196">
        <f t="shared" si="12"/>
        <v>178600000</v>
      </c>
      <c r="P51" s="196">
        <f t="shared" si="12"/>
        <v>320264000</v>
      </c>
      <c r="Q51" s="196">
        <f t="shared" si="12"/>
        <v>320264000</v>
      </c>
      <c r="R51" s="205"/>
    </row>
    <row r="52" spans="1:18" s="179" customFormat="1" ht="30" customHeight="1">
      <c r="A52" s="348" t="s">
        <v>124</v>
      </c>
      <c r="B52" s="348" t="s">
        <v>305</v>
      </c>
      <c r="C52" s="348" t="s">
        <v>306</v>
      </c>
      <c r="D52" s="348" t="s">
        <v>307</v>
      </c>
      <c r="E52" s="348" t="s">
        <v>308</v>
      </c>
      <c r="F52" s="191" t="s">
        <v>252</v>
      </c>
      <c r="G52" s="348" t="s">
        <v>415</v>
      </c>
      <c r="H52" s="348" t="s">
        <v>424</v>
      </c>
      <c r="I52" s="192">
        <f>J52+K52</f>
        <v>73971600</v>
      </c>
      <c r="J52" s="192">
        <v>73971600</v>
      </c>
      <c r="K52" s="192">
        <v>0</v>
      </c>
      <c r="L52" s="192"/>
      <c r="M52" s="192">
        <f>N52+O52</f>
        <v>9789300</v>
      </c>
      <c r="N52" s="192">
        <v>9789300</v>
      </c>
      <c r="O52" s="192">
        <v>0</v>
      </c>
      <c r="P52" s="192">
        <f t="shared" si="11"/>
        <v>9789300</v>
      </c>
      <c r="Q52" s="192">
        <v>9789000</v>
      </c>
      <c r="R52" s="344" t="s">
        <v>436</v>
      </c>
    </row>
    <row r="53" spans="1:18" s="179" customFormat="1" ht="30" customHeight="1">
      <c r="A53" s="348"/>
      <c r="B53" s="348"/>
      <c r="C53" s="348"/>
      <c r="D53" s="348"/>
      <c r="E53" s="348"/>
      <c r="F53" s="191" t="s">
        <v>302</v>
      </c>
      <c r="G53" s="348"/>
      <c r="H53" s="348"/>
      <c r="I53" s="192">
        <f>J53+K53</f>
        <v>20000000</v>
      </c>
      <c r="J53" s="192">
        <v>20000000</v>
      </c>
      <c r="K53" s="192">
        <v>0</v>
      </c>
      <c r="L53" s="192"/>
      <c r="M53" s="192">
        <f>N53+O53</f>
        <v>0</v>
      </c>
      <c r="N53" s="192">
        <v>0</v>
      </c>
      <c r="O53" s="192">
        <v>0</v>
      </c>
      <c r="P53" s="192">
        <f t="shared" si="11"/>
        <v>0</v>
      </c>
      <c r="Q53" s="192"/>
      <c r="R53" s="344"/>
    </row>
    <row r="54" spans="1:18" s="179" customFormat="1" ht="44.25" customHeight="1">
      <c r="A54" s="348"/>
      <c r="B54" s="348"/>
      <c r="C54" s="348"/>
      <c r="D54" s="348"/>
      <c r="E54" s="348"/>
      <c r="F54" s="191" t="s">
        <v>309</v>
      </c>
      <c r="G54" s="348"/>
      <c r="H54" s="348"/>
      <c r="I54" s="192">
        <f>J54+K54</f>
        <v>279950000</v>
      </c>
      <c r="J54" s="192">
        <v>83985000</v>
      </c>
      <c r="K54" s="192">
        <v>195965000</v>
      </c>
      <c r="L54" s="192"/>
      <c r="M54" s="192">
        <f>N54+O54</f>
        <v>0</v>
      </c>
      <c r="N54" s="192">
        <v>0</v>
      </c>
      <c r="O54" s="192">
        <v>0</v>
      </c>
      <c r="P54" s="192">
        <f t="shared" si="11"/>
        <v>0</v>
      </c>
      <c r="Q54" s="192"/>
      <c r="R54" s="344"/>
    </row>
    <row r="55" spans="1:18" s="179" customFormat="1" ht="54" customHeight="1">
      <c r="A55" s="348"/>
      <c r="B55" s="348"/>
      <c r="C55" s="348"/>
      <c r="D55" s="348"/>
      <c r="E55" s="348"/>
      <c r="F55" s="191" t="s">
        <v>304</v>
      </c>
      <c r="G55" s="348"/>
      <c r="H55" s="348"/>
      <c r="I55" s="192">
        <f>J55+K55</f>
        <v>1802171700</v>
      </c>
      <c r="J55" s="192">
        <v>898867530</v>
      </c>
      <c r="K55" s="192">
        <v>903304170</v>
      </c>
      <c r="L55" s="192"/>
      <c r="M55" s="192">
        <f>N55+O55</f>
        <v>674881200</v>
      </c>
      <c r="N55" s="192">
        <v>299622510</v>
      </c>
      <c r="O55" s="192">
        <v>375258690</v>
      </c>
      <c r="P55" s="192">
        <f t="shared" si="11"/>
        <v>299622510</v>
      </c>
      <c r="Q55" s="192">
        <v>299622000</v>
      </c>
      <c r="R55" s="344"/>
    </row>
    <row r="56" spans="1:18" s="179" customFormat="1" ht="54" customHeight="1">
      <c r="A56" s="348"/>
      <c r="B56" s="348"/>
      <c r="C56" s="348"/>
      <c r="D56" s="348"/>
      <c r="E56" s="348"/>
      <c r="F56" s="191" t="s">
        <v>310</v>
      </c>
      <c r="G56" s="348"/>
      <c r="H56" s="348"/>
      <c r="I56" s="192">
        <f>J56+K56</f>
        <v>165150000</v>
      </c>
      <c r="J56" s="192">
        <v>128150000</v>
      </c>
      <c r="K56" s="192">
        <v>37000000</v>
      </c>
      <c r="L56" s="192"/>
      <c r="M56" s="192">
        <f>N56+O56</f>
        <v>165150000</v>
      </c>
      <c r="N56" s="192">
        <v>128150000</v>
      </c>
      <c r="O56" s="192">
        <v>37000000</v>
      </c>
      <c r="P56" s="192">
        <f t="shared" si="11"/>
        <v>128150000</v>
      </c>
      <c r="Q56" s="192">
        <f>P56</f>
        <v>128150000</v>
      </c>
      <c r="R56" s="344"/>
    </row>
    <row r="57" spans="1:18" s="184" customFormat="1" ht="27.75" customHeight="1">
      <c r="A57" s="348"/>
      <c r="B57" s="348"/>
      <c r="C57" s="348"/>
      <c r="D57" s="348"/>
      <c r="E57" s="348"/>
      <c r="F57" s="207" t="s">
        <v>257</v>
      </c>
      <c r="G57" s="208"/>
      <c r="H57" s="208"/>
      <c r="I57" s="196">
        <f>SUM(I52:I56)</f>
        <v>2341243300</v>
      </c>
      <c r="J57" s="196">
        <f t="shared" ref="J57:Q57" si="13">SUM(J52:J56)</f>
        <v>1204974130</v>
      </c>
      <c r="K57" s="196">
        <f t="shared" si="13"/>
        <v>1136269170</v>
      </c>
      <c r="L57" s="196">
        <f>419622500+413608000-50598490-15219690</f>
        <v>767412320</v>
      </c>
      <c r="M57" s="196">
        <f t="shared" si="13"/>
        <v>849820500</v>
      </c>
      <c r="N57" s="196">
        <f t="shared" si="13"/>
        <v>437561810</v>
      </c>
      <c r="O57" s="196">
        <f t="shared" si="13"/>
        <v>412258690</v>
      </c>
      <c r="P57" s="196">
        <f t="shared" si="13"/>
        <v>437561810</v>
      </c>
      <c r="Q57" s="196">
        <f t="shared" si="13"/>
        <v>437561000</v>
      </c>
      <c r="R57" s="205"/>
    </row>
    <row r="58" spans="1:18" s="184" customFormat="1" ht="22.5" customHeight="1">
      <c r="A58" s="307" t="s">
        <v>127</v>
      </c>
      <c r="B58" s="307" t="s">
        <v>311</v>
      </c>
      <c r="C58" s="307" t="s">
        <v>312</v>
      </c>
      <c r="D58" s="307" t="s">
        <v>313</v>
      </c>
      <c r="E58" s="307" t="s">
        <v>314</v>
      </c>
      <c r="F58" s="191" t="s">
        <v>252</v>
      </c>
      <c r="G58" s="307" t="s">
        <v>418</v>
      </c>
      <c r="H58" s="307" t="s">
        <v>315</v>
      </c>
      <c r="I58" s="192">
        <f>J58+K58</f>
        <v>42241500</v>
      </c>
      <c r="J58" s="192">
        <v>42241500</v>
      </c>
      <c r="K58" s="192">
        <v>0</v>
      </c>
      <c r="L58" s="192"/>
      <c r="M58" s="192">
        <f>N58+O58</f>
        <v>6630500</v>
      </c>
      <c r="N58" s="192">
        <v>6630500</v>
      </c>
      <c r="O58" s="192">
        <v>0</v>
      </c>
      <c r="P58" s="192">
        <f t="shared" si="11"/>
        <v>6630500</v>
      </c>
      <c r="Q58" s="192">
        <v>6630000</v>
      </c>
      <c r="R58" s="339" t="s">
        <v>437</v>
      </c>
    </row>
    <row r="59" spans="1:18" s="184" customFormat="1" ht="22.5" customHeight="1">
      <c r="A59" s="314"/>
      <c r="B59" s="314"/>
      <c r="C59" s="314"/>
      <c r="D59" s="314"/>
      <c r="E59" s="314"/>
      <c r="F59" s="191" t="s">
        <v>302</v>
      </c>
      <c r="G59" s="314"/>
      <c r="H59" s="314"/>
      <c r="I59" s="192">
        <f>J59+K59</f>
        <v>3280000</v>
      </c>
      <c r="J59" s="192">
        <v>3280000</v>
      </c>
      <c r="K59" s="192">
        <v>0</v>
      </c>
      <c r="L59" s="192"/>
      <c r="M59" s="192">
        <f>N59+O59</f>
        <v>0</v>
      </c>
      <c r="N59" s="192">
        <v>0</v>
      </c>
      <c r="O59" s="192">
        <v>0</v>
      </c>
      <c r="P59" s="192">
        <f t="shared" si="11"/>
        <v>0</v>
      </c>
      <c r="Q59" s="192"/>
      <c r="R59" s="340"/>
    </row>
    <row r="60" spans="1:18" s="184" customFormat="1" ht="49.5" customHeight="1">
      <c r="A60" s="314"/>
      <c r="B60" s="314"/>
      <c r="C60" s="314"/>
      <c r="D60" s="314"/>
      <c r="E60" s="314"/>
      <c r="F60" s="191" t="s">
        <v>303</v>
      </c>
      <c r="G60" s="314"/>
      <c r="H60" s="314"/>
      <c r="I60" s="192">
        <f>J60+K60</f>
        <v>154600000</v>
      </c>
      <c r="J60" s="192">
        <v>154600000</v>
      </c>
      <c r="K60" s="192">
        <v>0</v>
      </c>
      <c r="L60" s="192"/>
      <c r="M60" s="192">
        <f>N60+O60</f>
        <v>0</v>
      </c>
      <c r="N60" s="192">
        <v>0</v>
      </c>
      <c r="O60" s="192">
        <v>0</v>
      </c>
      <c r="P60" s="192">
        <f t="shared" si="11"/>
        <v>0</v>
      </c>
      <c r="Q60" s="192"/>
      <c r="R60" s="340"/>
    </row>
    <row r="61" spans="1:18" s="184" customFormat="1" ht="51" customHeight="1">
      <c r="A61" s="314"/>
      <c r="B61" s="314"/>
      <c r="C61" s="314"/>
      <c r="D61" s="314"/>
      <c r="E61" s="314"/>
      <c r="F61" s="191" t="s">
        <v>316</v>
      </c>
      <c r="G61" s="314"/>
      <c r="H61" s="314"/>
      <c r="I61" s="192">
        <f>J61+K61</f>
        <v>21690000</v>
      </c>
      <c r="J61" s="192">
        <v>6507000</v>
      </c>
      <c r="K61" s="192">
        <v>15183000</v>
      </c>
      <c r="L61" s="192"/>
      <c r="M61" s="192">
        <f>N61+O61</f>
        <v>0</v>
      </c>
      <c r="N61" s="192">
        <v>0</v>
      </c>
      <c r="O61" s="192">
        <v>0</v>
      </c>
      <c r="P61" s="192">
        <f t="shared" si="11"/>
        <v>0</v>
      </c>
      <c r="Q61" s="192"/>
      <c r="R61" s="340"/>
    </row>
    <row r="62" spans="1:18" s="184" customFormat="1" ht="59.25" customHeight="1">
      <c r="A62" s="314"/>
      <c r="B62" s="314"/>
      <c r="C62" s="314"/>
      <c r="D62" s="314"/>
      <c r="E62" s="314"/>
      <c r="F62" s="191" t="s">
        <v>317</v>
      </c>
      <c r="G62" s="308"/>
      <c r="H62" s="308"/>
      <c r="I62" s="192">
        <f>J62+K62</f>
        <v>1777800000</v>
      </c>
      <c r="J62" s="192">
        <v>900000000</v>
      </c>
      <c r="K62" s="192">
        <v>877800000</v>
      </c>
      <c r="L62" s="192"/>
      <c r="M62" s="192">
        <f>N62+O62</f>
        <v>592600000</v>
      </c>
      <c r="N62" s="192">
        <v>300000000</v>
      </c>
      <c r="O62" s="192">
        <v>292600000</v>
      </c>
      <c r="P62" s="192">
        <f t="shared" si="11"/>
        <v>300000000</v>
      </c>
      <c r="Q62" s="192">
        <v>300000000</v>
      </c>
      <c r="R62" s="340"/>
    </row>
    <row r="63" spans="1:18" s="184" customFormat="1" ht="27.75" customHeight="1">
      <c r="A63" s="308"/>
      <c r="B63" s="308"/>
      <c r="C63" s="308"/>
      <c r="D63" s="308"/>
      <c r="E63" s="308"/>
      <c r="F63" s="194" t="s">
        <v>257</v>
      </c>
      <c r="G63" s="206"/>
      <c r="H63" s="206"/>
      <c r="I63" s="196">
        <f t="shared" ref="I63:Q63" si="14">SUM(I58:I62)</f>
        <v>1999611500</v>
      </c>
      <c r="J63" s="196">
        <f t="shared" si="14"/>
        <v>1106628500</v>
      </c>
      <c r="K63" s="196">
        <f t="shared" si="14"/>
        <v>892983000</v>
      </c>
      <c r="L63" s="196">
        <f>467861000+367748000-28980500-6630500</f>
        <v>799998000</v>
      </c>
      <c r="M63" s="196">
        <f t="shared" si="14"/>
        <v>599230500</v>
      </c>
      <c r="N63" s="196">
        <f t="shared" si="14"/>
        <v>306630500</v>
      </c>
      <c r="O63" s="196">
        <f t="shared" si="14"/>
        <v>292600000</v>
      </c>
      <c r="P63" s="196">
        <f t="shared" si="14"/>
        <v>306630500</v>
      </c>
      <c r="Q63" s="196">
        <f t="shared" si="14"/>
        <v>306630000</v>
      </c>
      <c r="R63" s="341"/>
    </row>
    <row r="64" spans="1:18" s="190" customFormat="1" ht="34.5" customHeight="1">
      <c r="A64" s="185">
        <v>5</v>
      </c>
      <c r="B64" s="342" t="s">
        <v>318</v>
      </c>
      <c r="C64" s="342"/>
      <c r="D64" s="342"/>
      <c r="E64" s="186"/>
      <c r="F64" s="187"/>
      <c r="G64" s="187"/>
      <c r="H64" s="187"/>
      <c r="I64" s="188">
        <f t="shared" ref="I64:Q64" si="15">+I69+I73+I78</f>
        <v>3721155900</v>
      </c>
      <c r="J64" s="188">
        <f t="shared" si="15"/>
        <v>1989807900</v>
      </c>
      <c r="K64" s="188">
        <f t="shared" si="15"/>
        <v>1731348000</v>
      </c>
      <c r="L64" s="188">
        <f t="shared" si="15"/>
        <v>1338290600</v>
      </c>
      <c r="M64" s="188">
        <f t="shared" si="15"/>
        <v>1276770500</v>
      </c>
      <c r="N64" s="188">
        <f t="shared" si="15"/>
        <v>636135500</v>
      </c>
      <c r="O64" s="188">
        <f t="shared" si="15"/>
        <v>640635000</v>
      </c>
      <c r="P64" s="188">
        <f t="shared" si="15"/>
        <v>636135500</v>
      </c>
      <c r="Q64" s="188">
        <f t="shared" si="15"/>
        <v>636134000</v>
      </c>
      <c r="R64" s="214"/>
    </row>
    <row r="65" spans="1:18" s="184" customFormat="1" ht="55.5" customHeight="1">
      <c r="A65" s="348" t="s">
        <v>319</v>
      </c>
      <c r="B65" s="348" t="s">
        <v>320</v>
      </c>
      <c r="C65" s="348" t="s">
        <v>321</v>
      </c>
      <c r="D65" s="348" t="s">
        <v>322</v>
      </c>
      <c r="E65" s="348" t="s">
        <v>323</v>
      </c>
      <c r="F65" s="191" t="s">
        <v>252</v>
      </c>
      <c r="G65" s="348" t="s">
        <v>425</v>
      </c>
      <c r="H65" s="348" t="s">
        <v>426</v>
      </c>
      <c r="I65" s="192">
        <f>'[3]Biểu nhu cầu KP 2023'!$H$8</f>
        <v>95658000</v>
      </c>
      <c r="J65" s="215">
        <f>'[3]Biểu nhu cầu KP 2023'!$I$8</f>
        <v>95658000</v>
      </c>
      <c r="K65" s="216"/>
      <c r="L65" s="216"/>
      <c r="M65" s="192">
        <f>'[3]Biểu nhu cầu KP 2023'!$K$8</f>
        <v>17358500</v>
      </c>
      <c r="N65" s="192">
        <f>'[3]Biểu nhu cầu KP 2023'!$L$8</f>
        <v>17358500</v>
      </c>
      <c r="O65" s="217"/>
      <c r="P65" s="192">
        <f>N65</f>
        <v>17358500</v>
      </c>
      <c r="Q65" s="192">
        <v>17358000</v>
      </c>
      <c r="R65" s="339" t="s">
        <v>438</v>
      </c>
    </row>
    <row r="66" spans="1:18" s="184" customFormat="1" ht="78.75" customHeight="1">
      <c r="A66" s="348"/>
      <c r="B66" s="348"/>
      <c r="C66" s="348"/>
      <c r="D66" s="348"/>
      <c r="E66" s="348"/>
      <c r="F66" s="191" t="s">
        <v>255</v>
      </c>
      <c r="G66" s="348"/>
      <c r="H66" s="348"/>
      <c r="I66" s="192">
        <f>'[3]Biểu nhu cầu KP 2023'!$H$9</f>
        <v>5110000</v>
      </c>
      <c r="J66" s="215">
        <f>'[3]Biểu nhu cầu KP 2023'!$I$9</f>
        <v>5110000</v>
      </c>
      <c r="K66" s="216"/>
      <c r="L66" s="216"/>
      <c r="M66" s="192"/>
      <c r="N66" s="192"/>
      <c r="O66" s="217"/>
      <c r="P66" s="192">
        <f t="shared" ref="P66:P77" si="16">N66</f>
        <v>0</v>
      </c>
      <c r="Q66" s="192"/>
      <c r="R66" s="340"/>
    </row>
    <row r="67" spans="1:18" s="184" customFormat="1" ht="69" customHeight="1">
      <c r="A67" s="348"/>
      <c r="B67" s="348"/>
      <c r="C67" s="348"/>
      <c r="D67" s="348"/>
      <c r="E67" s="348"/>
      <c r="F67" s="191" t="s">
        <v>256</v>
      </c>
      <c r="G67" s="348"/>
      <c r="H67" s="348"/>
      <c r="I67" s="192">
        <f>'[3]Biểu nhu cầu KP 2023'!$H$10</f>
        <v>1676250000</v>
      </c>
      <c r="J67" s="215">
        <f>'[3]Biểu nhu cầu KP 2023'!$I$10</f>
        <v>490875000</v>
      </c>
      <c r="K67" s="215">
        <f>'[3]Biểu nhu cầu KP 2023'!$J$10</f>
        <v>1185375000</v>
      </c>
      <c r="L67" s="215"/>
      <c r="M67" s="192">
        <f>'[3]Biểu nhu cầu KP 2023'!$K$10</f>
        <v>670500000</v>
      </c>
      <c r="N67" s="192">
        <f>'[3]Biểu nhu cầu KP 2023'!$L$10</f>
        <v>196350000</v>
      </c>
      <c r="O67" s="217">
        <f>'[3]Biểu nhu cầu KP 2023'!$M$10</f>
        <v>474150000</v>
      </c>
      <c r="P67" s="192">
        <f t="shared" si="16"/>
        <v>196350000</v>
      </c>
      <c r="Q67" s="192">
        <v>196350000</v>
      </c>
      <c r="R67" s="340"/>
    </row>
    <row r="68" spans="1:18" s="184" customFormat="1" ht="35.25" customHeight="1">
      <c r="A68" s="348"/>
      <c r="B68" s="348"/>
      <c r="C68" s="348"/>
      <c r="D68" s="348"/>
      <c r="E68" s="348"/>
      <c r="F68" s="191" t="s">
        <v>324</v>
      </c>
      <c r="G68" s="348"/>
      <c r="H68" s="348"/>
      <c r="I68" s="192">
        <f>'[3]Biểu nhu cầu KP 2023'!$H$11</f>
        <v>25000000</v>
      </c>
      <c r="J68" s="215">
        <f>'[3]Biểu nhu cầu KP 2023'!$I$11</f>
        <v>7500000</v>
      </c>
      <c r="K68" s="215">
        <f>'[3]Biểu nhu cầu KP 2023'!$J$11</f>
        <v>17500000</v>
      </c>
      <c r="L68" s="215"/>
      <c r="M68" s="217"/>
      <c r="N68" s="217"/>
      <c r="O68" s="217"/>
      <c r="P68" s="192">
        <f t="shared" si="16"/>
        <v>0</v>
      </c>
      <c r="Q68" s="192"/>
      <c r="R68" s="340"/>
    </row>
    <row r="69" spans="1:18" s="200" customFormat="1" ht="30" customHeight="1">
      <c r="A69" s="348"/>
      <c r="B69" s="348"/>
      <c r="C69" s="348"/>
      <c r="D69" s="348"/>
      <c r="E69" s="348"/>
      <c r="F69" s="207" t="s">
        <v>257</v>
      </c>
      <c r="G69" s="348"/>
      <c r="H69" s="348"/>
      <c r="I69" s="196">
        <f t="shared" ref="I69:Q69" si="17">SUM(I65:I68)</f>
        <v>1802018000</v>
      </c>
      <c r="J69" s="196">
        <f t="shared" si="17"/>
        <v>599143000</v>
      </c>
      <c r="K69" s="196">
        <f t="shared" si="17"/>
        <v>1202875000</v>
      </c>
      <c r="L69" s="196">
        <f>221208500+205551000-41325000</f>
        <v>385434500</v>
      </c>
      <c r="M69" s="196">
        <f t="shared" si="17"/>
        <v>687858500</v>
      </c>
      <c r="N69" s="196">
        <f t="shared" si="17"/>
        <v>213708500</v>
      </c>
      <c r="O69" s="196">
        <f t="shared" si="17"/>
        <v>474150000</v>
      </c>
      <c r="P69" s="196">
        <f t="shared" si="17"/>
        <v>213708500</v>
      </c>
      <c r="Q69" s="196">
        <f t="shared" si="17"/>
        <v>213708000</v>
      </c>
      <c r="R69" s="341"/>
    </row>
    <row r="70" spans="1:18" s="184" customFormat="1" ht="48" customHeight="1">
      <c r="A70" s="314" t="s">
        <v>325</v>
      </c>
      <c r="B70" s="314" t="s">
        <v>326</v>
      </c>
      <c r="C70" s="314" t="s">
        <v>327</v>
      </c>
      <c r="D70" s="314" t="s">
        <v>328</v>
      </c>
      <c r="E70" s="314" t="s">
        <v>329</v>
      </c>
      <c r="F70" s="218" t="s">
        <v>252</v>
      </c>
      <c r="G70" s="314" t="s">
        <v>427</v>
      </c>
      <c r="H70" s="314" t="s">
        <v>428</v>
      </c>
      <c r="I70" s="219">
        <f>'[3]Biểu nhu cầu KP 2023'!$H$13</f>
        <v>87468200</v>
      </c>
      <c r="J70" s="220">
        <f>I70</f>
        <v>87468200</v>
      </c>
      <c r="K70" s="221"/>
      <c r="L70" s="221"/>
      <c r="M70" s="219">
        <f>+N70+O70</f>
        <v>19891500</v>
      </c>
      <c r="N70" s="219">
        <v>19891500</v>
      </c>
      <c r="O70" s="222"/>
      <c r="P70" s="219">
        <f t="shared" si="16"/>
        <v>19891500</v>
      </c>
      <c r="Q70" s="219">
        <v>19891000</v>
      </c>
      <c r="R70" s="349" t="s">
        <v>439</v>
      </c>
    </row>
    <row r="71" spans="1:18" s="184" customFormat="1" ht="48" customHeight="1">
      <c r="A71" s="314"/>
      <c r="B71" s="314"/>
      <c r="C71" s="314"/>
      <c r="D71" s="314"/>
      <c r="E71" s="314"/>
      <c r="F71" s="218" t="s">
        <v>255</v>
      </c>
      <c r="G71" s="314"/>
      <c r="H71" s="314"/>
      <c r="I71" s="192">
        <f>'[3]Biểu nhu cầu KP 2023'!$H$14</f>
        <v>37320000</v>
      </c>
      <c r="J71" s="220">
        <f>I71</f>
        <v>37320000</v>
      </c>
      <c r="K71" s="221"/>
      <c r="L71" s="221"/>
      <c r="M71" s="219">
        <f>+N71+O71</f>
        <v>7440000</v>
      </c>
      <c r="N71" s="192">
        <v>7440000</v>
      </c>
      <c r="O71" s="217"/>
      <c r="P71" s="192">
        <f t="shared" si="16"/>
        <v>7440000</v>
      </c>
      <c r="Q71" s="192">
        <v>7440000</v>
      </c>
      <c r="R71" s="350"/>
    </row>
    <row r="72" spans="1:18" s="184" customFormat="1" ht="48" customHeight="1">
      <c r="A72" s="314"/>
      <c r="B72" s="314"/>
      <c r="C72" s="314"/>
      <c r="D72" s="314"/>
      <c r="E72" s="314"/>
      <c r="F72" s="218" t="s">
        <v>256</v>
      </c>
      <c r="G72" s="314"/>
      <c r="H72" s="314"/>
      <c r="I72" s="192">
        <f>'[3]Biểu nhu cầu KP 2023'!$H$15</f>
        <v>1276200000</v>
      </c>
      <c r="J72" s="220">
        <f>'[3]Biểu nhu cầu KP 2023'!$I$15</f>
        <v>893340000</v>
      </c>
      <c r="K72" s="220">
        <f>'[3]Biểu nhu cầu KP 2023'!$J$15</f>
        <v>382860000</v>
      </c>
      <c r="L72" s="220"/>
      <c r="M72" s="219">
        <f>+N72+O72</f>
        <v>425400000</v>
      </c>
      <c r="N72" s="192">
        <f>'[3]Biểu nhu cầu KP 2023'!$L$15</f>
        <v>297780000</v>
      </c>
      <c r="O72" s="192">
        <f>'[3]Biểu nhu cầu KP 2023'!$M$15</f>
        <v>127620000</v>
      </c>
      <c r="P72" s="192">
        <f t="shared" si="16"/>
        <v>297780000</v>
      </c>
      <c r="Q72" s="192">
        <f>P72</f>
        <v>297780000</v>
      </c>
      <c r="R72" s="350"/>
    </row>
    <row r="73" spans="1:18" s="200" customFormat="1" ht="57.75" customHeight="1">
      <c r="A73" s="314"/>
      <c r="B73" s="314"/>
      <c r="C73" s="314"/>
      <c r="D73" s="314"/>
      <c r="E73" s="314"/>
      <c r="F73" s="223" t="s">
        <v>257</v>
      </c>
      <c r="G73" s="314"/>
      <c r="H73" s="314"/>
      <c r="I73" s="196">
        <f t="shared" ref="I73:Q73" si="18">SUM(I70:I72)</f>
        <v>1400988200</v>
      </c>
      <c r="J73" s="196">
        <f t="shared" si="18"/>
        <v>1018128200</v>
      </c>
      <c r="K73" s="196">
        <f t="shared" si="18"/>
        <v>382860000</v>
      </c>
      <c r="L73" s="196">
        <f>332611500+356103400-4301800</f>
        <v>684413100</v>
      </c>
      <c r="M73" s="196">
        <f t="shared" si="18"/>
        <v>452731500</v>
      </c>
      <c r="N73" s="196">
        <f t="shared" si="18"/>
        <v>325111500</v>
      </c>
      <c r="O73" s="196">
        <f t="shared" si="18"/>
        <v>127620000</v>
      </c>
      <c r="P73" s="196">
        <f t="shared" si="18"/>
        <v>325111500</v>
      </c>
      <c r="Q73" s="196">
        <f t="shared" si="18"/>
        <v>325111000</v>
      </c>
      <c r="R73" s="351"/>
    </row>
    <row r="74" spans="1:18" s="179" customFormat="1" ht="60.75" customHeight="1">
      <c r="A74" s="307" t="s">
        <v>331</v>
      </c>
      <c r="B74" s="307" t="s">
        <v>332</v>
      </c>
      <c r="C74" s="307" t="s">
        <v>333</v>
      </c>
      <c r="D74" s="307" t="s">
        <v>334</v>
      </c>
      <c r="E74" s="307" t="s">
        <v>335</v>
      </c>
      <c r="F74" s="191" t="s">
        <v>252</v>
      </c>
      <c r="G74" s="307" t="s">
        <v>427</v>
      </c>
      <c r="H74" s="307" t="s">
        <v>429</v>
      </c>
      <c r="I74" s="192">
        <f>J74+K74</f>
        <v>71415700</v>
      </c>
      <c r="J74" s="192">
        <v>71415700</v>
      </c>
      <c r="K74" s="192"/>
      <c r="L74" s="192"/>
      <c r="M74" s="192">
        <f>'[3]Biểu nhu cầu KP 2023'!$K$17</f>
        <v>6630500</v>
      </c>
      <c r="N74" s="192">
        <f>M74</f>
        <v>6630500</v>
      </c>
      <c r="O74" s="192"/>
      <c r="P74" s="192">
        <f t="shared" si="16"/>
        <v>6630500</v>
      </c>
      <c r="Q74" s="192">
        <v>6630000</v>
      </c>
      <c r="R74" s="339" t="s">
        <v>440</v>
      </c>
    </row>
    <row r="75" spans="1:18" s="179" customFormat="1" ht="51.75" customHeight="1">
      <c r="A75" s="314"/>
      <c r="B75" s="314"/>
      <c r="C75" s="314"/>
      <c r="D75" s="314"/>
      <c r="E75" s="314"/>
      <c r="F75" s="191" t="s">
        <v>255</v>
      </c>
      <c r="G75" s="314"/>
      <c r="H75" s="314"/>
      <c r="I75" s="192">
        <f>J75+K75</f>
        <v>5444000</v>
      </c>
      <c r="J75" s="192">
        <v>5444000</v>
      </c>
      <c r="K75" s="192">
        <v>0</v>
      </c>
      <c r="L75" s="192"/>
      <c r="M75" s="192"/>
      <c r="N75" s="192"/>
      <c r="O75" s="192"/>
      <c r="P75" s="192">
        <f t="shared" si="16"/>
        <v>0</v>
      </c>
      <c r="Q75" s="192"/>
      <c r="R75" s="340"/>
    </row>
    <row r="76" spans="1:18" s="179" customFormat="1" ht="51.75" customHeight="1">
      <c r="A76" s="314"/>
      <c r="B76" s="314"/>
      <c r="C76" s="314"/>
      <c r="D76" s="314"/>
      <c r="E76" s="314"/>
      <c r="F76" s="191" t="s">
        <v>336</v>
      </c>
      <c r="G76" s="314"/>
      <c r="H76" s="314"/>
      <c r="I76" s="192">
        <f>J76+K76</f>
        <v>42290000</v>
      </c>
      <c r="J76" s="192">
        <v>12687000</v>
      </c>
      <c r="K76" s="192">
        <v>29603000</v>
      </c>
      <c r="L76" s="192"/>
      <c r="M76" s="192"/>
      <c r="N76" s="192"/>
      <c r="O76" s="192"/>
      <c r="P76" s="192"/>
      <c r="Q76" s="192"/>
      <c r="R76" s="340"/>
    </row>
    <row r="77" spans="1:18" s="179" customFormat="1" ht="51.75" customHeight="1">
      <c r="A77" s="314"/>
      <c r="B77" s="314"/>
      <c r="C77" s="314"/>
      <c r="D77" s="314"/>
      <c r="E77" s="314"/>
      <c r="F77" s="191" t="s">
        <v>304</v>
      </c>
      <c r="G77" s="314"/>
      <c r="H77" s="314"/>
      <c r="I77" s="192">
        <f>J77+K77</f>
        <v>399000000</v>
      </c>
      <c r="J77" s="192">
        <v>282990000</v>
      </c>
      <c r="K77" s="192">
        <v>116010000</v>
      </c>
      <c r="L77" s="192"/>
      <c r="M77" s="192">
        <f>'[3]Biểu nhu cầu KP 2023'!$K$19</f>
        <v>129550000</v>
      </c>
      <c r="N77" s="192">
        <f>'[3]Biểu nhu cầu KP 2023'!$L$19</f>
        <v>90685000</v>
      </c>
      <c r="O77" s="192">
        <f>'[3]Biểu nhu cầu KP 2023'!$M$19</f>
        <v>38865000</v>
      </c>
      <c r="P77" s="192">
        <f t="shared" si="16"/>
        <v>90685000</v>
      </c>
      <c r="Q77" s="192">
        <v>90685000</v>
      </c>
      <c r="R77" s="340"/>
    </row>
    <row r="78" spans="1:18" s="262" customFormat="1" ht="25.5" customHeight="1">
      <c r="A78" s="314"/>
      <c r="B78" s="314"/>
      <c r="C78" s="314"/>
      <c r="D78" s="314"/>
      <c r="E78" s="314"/>
      <c r="F78" s="260" t="s">
        <v>257</v>
      </c>
      <c r="G78" s="308"/>
      <c r="H78" s="308"/>
      <c r="I78" s="261">
        <f>SUM(I74:I77)</f>
        <v>518149700</v>
      </c>
      <c r="J78" s="261">
        <f>SUM(J74:J77)</f>
        <v>372536700</v>
      </c>
      <c r="K78" s="261">
        <f>SUM(K74:K77)</f>
        <v>145613000</v>
      </c>
      <c r="L78" s="261">
        <f>116997500+151445500</f>
        <v>268443000</v>
      </c>
      <c r="M78" s="261">
        <f>SUM(M74:M77)</f>
        <v>136180500</v>
      </c>
      <c r="N78" s="261">
        <f>SUM(N74:N77)</f>
        <v>97315500</v>
      </c>
      <c r="O78" s="261">
        <f>SUM(O74:O77)</f>
        <v>38865000</v>
      </c>
      <c r="P78" s="261">
        <f>SUM(P74:P77)</f>
        <v>97315500</v>
      </c>
      <c r="Q78" s="261">
        <f>SUM(Q74:Q77)</f>
        <v>97315000</v>
      </c>
      <c r="R78" s="341"/>
    </row>
    <row r="79" spans="1:18" s="190" customFormat="1" ht="29.25" customHeight="1">
      <c r="A79" s="185">
        <v>6</v>
      </c>
      <c r="B79" s="342" t="s">
        <v>337</v>
      </c>
      <c r="C79" s="342"/>
      <c r="D79" s="342"/>
      <c r="E79" s="186"/>
      <c r="F79" s="187"/>
      <c r="G79" s="187"/>
      <c r="H79" s="187"/>
      <c r="I79" s="188">
        <f t="shared" ref="I79:Q79" si="19">+I84+I87</f>
        <v>4215904600</v>
      </c>
      <c r="J79" s="188">
        <f t="shared" si="19"/>
        <v>1965604600</v>
      </c>
      <c r="K79" s="188">
        <f t="shared" si="19"/>
        <v>2250300000</v>
      </c>
      <c r="L79" s="188">
        <f t="shared" si="19"/>
        <v>1352383600</v>
      </c>
      <c r="M79" s="188">
        <f t="shared" si="19"/>
        <v>1335361000</v>
      </c>
      <c r="N79" s="188">
        <f t="shared" si="19"/>
        <v>613261000</v>
      </c>
      <c r="O79" s="188">
        <f t="shared" si="19"/>
        <v>722100000</v>
      </c>
      <c r="P79" s="188">
        <f t="shared" si="19"/>
        <v>613261000</v>
      </c>
      <c r="Q79" s="188">
        <f t="shared" si="19"/>
        <v>613261000</v>
      </c>
      <c r="R79" s="189"/>
    </row>
    <row r="80" spans="1:18" s="179" customFormat="1" ht="51" customHeight="1">
      <c r="A80" s="307" t="s">
        <v>338</v>
      </c>
      <c r="B80" s="307" t="s">
        <v>339</v>
      </c>
      <c r="C80" s="307" t="s">
        <v>340</v>
      </c>
      <c r="D80" s="307" t="s">
        <v>341</v>
      </c>
      <c r="E80" s="307" t="s">
        <v>342</v>
      </c>
      <c r="F80" s="191" t="s">
        <v>252</v>
      </c>
      <c r="G80" s="307" t="s">
        <v>427</v>
      </c>
      <c r="H80" s="307" t="s">
        <v>343</v>
      </c>
      <c r="I80" s="192">
        <v>99144600</v>
      </c>
      <c r="J80" s="192">
        <f>I80</f>
        <v>99144600</v>
      </c>
      <c r="K80" s="192"/>
      <c r="L80" s="192"/>
      <c r="M80" s="192">
        <v>13261000</v>
      </c>
      <c r="N80" s="192">
        <f>M80</f>
        <v>13261000</v>
      </c>
      <c r="O80" s="192"/>
      <c r="P80" s="192">
        <f>N80</f>
        <v>13261000</v>
      </c>
      <c r="Q80" s="192">
        <f>P80</f>
        <v>13261000</v>
      </c>
      <c r="R80" s="339" t="s">
        <v>441</v>
      </c>
    </row>
    <row r="81" spans="1:18" s="179" customFormat="1" ht="51" customHeight="1">
      <c r="A81" s="314"/>
      <c r="B81" s="314"/>
      <c r="C81" s="314"/>
      <c r="D81" s="314"/>
      <c r="E81" s="314"/>
      <c r="F81" s="191" t="s">
        <v>255</v>
      </c>
      <c r="G81" s="314"/>
      <c r="H81" s="314"/>
      <c r="I81" s="192">
        <v>11000000</v>
      </c>
      <c r="J81" s="192">
        <f>I81</f>
        <v>11000000</v>
      </c>
      <c r="K81" s="192"/>
      <c r="L81" s="192"/>
      <c r="M81" s="192"/>
      <c r="N81" s="192"/>
      <c r="O81" s="192"/>
      <c r="P81" s="192"/>
      <c r="Q81" s="192"/>
      <c r="R81" s="340"/>
    </row>
    <row r="82" spans="1:18" s="178" customFormat="1" ht="51" customHeight="1">
      <c r="A82" s="314"/>
      <c r="B82" s="314"/>
      <c r="C82" s="314"/>
      <c r="D82" s="314"/>
      <c r="E82" s="314"/>
      <c r="F82" s="191" t="s">
        <v>290</v>
      </c>
      <c r="G82" s="314"/>
      <c r="H82" s="314"/>
      <c r="I82" s="192">
        <v>2709600000</v>
      </c>
      <c r="J82" s="192">
        <v>900000000</v>
      </c>
      <c r="K82" s="192">
        <f>I82-J82</f>
        <v>1809600000</v>
      </c>
      <c r="L82" s="192"/>
      <c r="M82" s="192">
        <v>903200000</v>
      </c>
      <c r="N82" s="192">
        <v>300000000</v>
      </c>
      <c r="O82" s="192">
        <f>M82-N82</f>
        <v>603200000</v>
      </c>
      <c r="P82" s="192">
        <v>300000000</v>
      </c>
      <c r="Q82" s="192">
        <f>P82</f>
        <v>300000000</v>
      </c>
      <c r="R82" s="340"/>
    </row>
    <row r="83" spans="1:18" ht="51" customHeight="1">
      <c r="A83" s="314"/>
      <c r="B83" s="314"/>
      <c r="C83" s="314"/>
      <c r="D83" s="314"/>
      <c r="E83" s="314"/>
      <c r="F83" s="203" t="s">
        <v>344</v>
      </c>
      <c r="G83" s="308"/>
      <c r="H83" s="308"/>
      <c r="I83" s="192">
        <v>120000000</v>
      </c>
      <c r="J83" s="192">
        <v>36000000</v>
      </c>
      <c r="K83" s="192">
        <f>I83-J83</f>
        <v>84000000</v>
      </c>
      <c r="L83" s="192"/>
      <c r="M83" s="192"/>
      <c r="N83" s="192"/>
      <c r="O83" s="192"/>
      <c r="P83" s="192"/>
      <c r="Q83" s="192"/>
      <c r="R83" s="340"/>
    </row>
    <row r="84" spans="1:18" ht="42.75" customHeight="1">
      <c r="A84" s="308"/>
      <c r="B84" s="308"/>
      <c r="C84" s="308"/>
      <c r="D84" s="308"/>
      <c r="E84" s="308"/>
      <c r="F84" s="194" t="s">
        <v>257</v>
      </c>
      <c r="G84" s="206"/>
      <c r="H84" s="206"/>
      <c r="I84" s="196">
        <f>I83+I82+I81+I80</f>
        <v>2939744600</v>
      </c>
      <c r="J84" s="196">
        <f t="shared" ref="J84:Q84" si="20">J83+J82+J81+J80</f>
        <v>1046144600</v>
      </c>
      <c r="K84" s="196">
        <f t="shared" si="20"/>
        <v>1893600000</v>
      </c>
      <c r="L84" s="196">
        <f>351913200+380970400</f>
        <v>732883600</v>
      </c>
      <c r="M84" s="196">
        <f t="shared" si="20"/>
        <v>916461000</v>
      </c>
      <c r="N84" s="196">
        <f t="shared" si="20"/>
        <v>313261000</v>
      </c>
      <c r="O84" s="196">
        <f t="shared" si="20"/>
        <v>603200000</v>
      </c>
      <c r="P84" s="196">
        <f t="shared" si="20"/>
        <v>313261000</v>
      </c>
      <c r="Q84" s="196">
        <f t="shared" si="20"/>
        <v>313261000</v>
      </c>
      <c r="R84" s="341"/>
    </row>
    <row r="85" spans="1:18" s="179" customFormat="1" ht="81.75" customHeight="1">
      <c r="A85" s="307" t="s">
        <v>345</v>
      </c>
      <c r="B85" s="307" t="s">
        <v>346</v>
      </c>
      <c r="C85" s="307" t="s">
        <v>347</v>
      </c>
      <c r="D85" s="307" t="s">
        <v>348</v>
      </c>
      <c r="E85" s="307" t="s">
        <v>349</v>
      </c>
      <c r="F85" s="191" t="s">
        <v>350</v>
      </c>
      <c r="G85" s="307" t="s">
        <v>330</v>
      </c>
      <c r="H85" s="307" t="s">
        <v>351</v>
      </c>
      <c r="I85" s="192">
        <v>19460000</v>
      </c>
      <c r="J85" s="192">
        <f>I85</f>
        <v>19460000</v>
      </c>
      <c r="K85" s="192"/>
      <c r="L85" s="192"/>
      <c r="M85" s="192"/>
      <c r="N85" s="192"/>
      <c r="O85" s="192"/>
      <c r="P85" s="192"/>
      <c r="Q85" s="192"/>
      <c r="R85" s="339" t="s">
        <v>442</v>
      </c>
    </row>
    <row r="86" spans="1:18" s="179" customFormat="1" ht="80.25" customHeight="1">
      <c r="A86" s="314"/>
      <c r="B86" s="314"/>
      <c r="C86" s="314"/>
      <c r="D86" s="314"/>
      <c r="E86" s="314"/>
      <c r="F86" s="191" t="s">
        <v>282</v>
      </c>
      <c r="G86" s="314"/>
      <c r="H86" s="314"/>
      <c r="I86" s="192">
        <v>1256700000</v>
      </c>
      <c r="J86" s="192">
        <v>900000000</v>
      </c>
      <c r="K86" s="192">
        <f>I86-J86</f>
        <v>356700000</v>
      </c>
      <c r="L86" s="192"/>
      <c r="M86" s="192">
        <v>418900000</v>
      </c>
      <c r="N86" s="192">
        <v>300000000</v>
      </c>
      <c r="O86" s="215">
        <f>M86-N86</f>
        <v>118900000</v>
      </c>
      <c r="P86" s="192">
        <f>N86</f>
        <v>300000000</v>
      </c>
      <c r="Q86" s="192">
        <f>P86</f>
        <v>300000000</v>
      </c>
      <c r="R86" s="340"/>
    </row>
    <row r="87" spans="1:18" s="178" customFormat="1" ht="32.25" customHeight="1">
      <c r="A87" s="308"/>
      <c r="B87" s="308"/>
      <c r="C87" s="308"/>
      <c r="D87" s="308"/>
      <c r="E87" s="308"/>
      <c r="F87" s="225" t="s">
        <v>257</v>
      </c>
      <c r="G87" s="308"/>
      <c r="H87" s="308"/>
      <c r="I87" s="188">
        <f t="shared" ref="I87:Q87" si="21">I86+I85</f>
        <v>1276160000</v>
      </c>
      <c r="J87" s="188">
        <f t="shared" si="21"/>
        <v>919460000</v>
      </c>
      <c r="K87" s="188">
        <f t="shared" si="21"/>
        <v>356700000</v>
      </c>
      <c r="L87" s="188">
        <f>300000000+319500000</f>
        <v>619500000</v>
      </c>
      <c r="M87" s="188">
        <f t="shared" si="21"/>
        <v>418900000</v>
      </c>
      <c r="N87" s="188">
        <f t="shared" si="21"/>
        <v>300000000</v>
      </c>
      <c r="O87" s="188">
        <f t="shared" si="21"/>
        <v>118900000</v>
      </c>
      <c r="P87" s="188">
        <f t="shared" si="21"/>
        <v>300000000</v>
      </c>
      <c r="Q87" s="188">
        <f t="shared" si="21"/>
        <v>300000000</v>
      </c>
      <c r="R87" s="341"/>
    </row>
    <row r="88" spans="1:18" s="190" customFormat="1" ht="31.5" customHeight="1">
      <c r="A88" s="185">
        <v>7</v>
      </c>
      <c r="B88" s="342" t="s">
        <v>352</v>
      </c>
      <c r="C88" s="342"/>
      <c r="D88" s="342"/>
      <c r="E88" s="342"/>
      <c r="F88" s="187"/>
      <c r="G88" s="187"/>
      <c r="H88" s="187"/>
      <c r="I88" s="188">
        <f t="shared" ref="I88:Q88" si="22">SUM(I89:I92)</f>
        <v>595800000</v>
      </c>
      <c r="J88" s="188">
        <f t="shared" si="22"/>
        <v>463200000</v>
      </c>
      <c r="K88" s="188">
        <f t="shared" si="22"/>
        <v>132600000</v>
      </c>
      <c r="L88" s="188">
        <f>L93</f>
        <v>404700000</v>
      </c>
      <c r="M88" s="188">
        <f t="shared" si="22"/>
        <v>119600000</v>
      </c>
      <c r="N88" s="188">
        <f t="shared" si="22"/>
        <v>58500000</v>
      </c>
      <c r="O88" s="188">
        <f t="shared" si="22"/>
        <v>61100000</v>
      </c>
      <c r="P88" s="188">
        <f t="shared" si="22"/>
        <v>58500000</v>
      </c>
      <c r="Q88" s="188">
        <f t="shared" si="22"/>
        <v>58500000</v>
      </c>
      <c r="R88" s="189"/>
    </row>
    <row r="89" spans="1:18" s="179" customFormat="1" ht="45.75" customHeight="1">
      <c r="A89" s="307" t="s">
        <v>353</v>
      </c>
      <c r="B89" s="307" t="s">
        <v>354</v>
      </c>
      <c r="C89" s="307" t="s">
        <v>355</v>
      </c>
      <c r="D89" s="352" t="s">
        <v>356</v>
      </c>
      <c r="E89" s="307" t="s">
        <v>357</v>
      </c>
      <c r="F89" s="191" t="s">
        <v>252</v>
      </c>
      <c r="G89" s="307" t="s">
        <v>427</v>
      </c>
      <c r="H89" s="307" t="s">
        <v>430</v>
      </c>
      <c r="I89" s="226">
        <v>20000000</v>
      </c>
      <c r="J89" s="192">
        <v>20000000</v>
      </c>
      <c r="K89" s="192"/>
      <c r="L89" s="192"/>
      <c r="M89" s="192"/>
      <c r="N89" s="192"/>
      <c r="O89" s="192"/>
      <c r="P89" s="192"/>
      <c r="Q89" s="192"/>
      <c r="R89" s="339" t="s">
        <v>443</v>
      </c>
    </row>
    <row r="90" spans="1:18" s="179" customFormat="1" ht="63" customHeight="1">
      <c r="A90" s="314"/>
      <c r="B90" s="314"/>
      <c r="C90" s="314"/>
      <c r="D90" s="353"/>
      <c r="E90" s="314"/>
      <c r="F90" s="191" t="s">
        <v>255</v>
      </c>
      <c r="G90" s="314"/>
      <c r="H90" s="314"/>
      <c r="I90" s="226">
        <v>137200000</v>
      </c>
      <c r="J90" s="226">
        <v>137200000</v>
      </c>
      <c r="K90" s="192"/>
      <c r="L90" s="192"/>
      <c r="M90" s="192"/>
      <c r="N90" s="192"/>
      <c r="O90" s="192"/>
      <c r="P90" s="192"/>
      <c r="Q90" s="192"/>
      <c r="R90" s="340"/>
    </row>
    <row r="91" spans="1:18" s="179" customFormat="1" ht="65.25" customHeight="1">
      <c r="A91" s="314"/>
      <c r="B91" s="314"/>
      <c r="C91" s="314"/>
      <c r="D91" s="353"/>
      <c r="E91" s="314"/>
      <c r="F91" s="191" t="s">
        <v>256</v>
      </c>
      <c r="G91" s="314"/>
      <c r="H91" s="314"/>
      <c r="I91" s="226">
        <v>418600000</v>
      </c>
      <c r="J91" s="192">
        <v>300000000</v>
      </c>
      <c r="K91" s="192">
        <v>118600000</v>
      </c>
      <c r="L91" s="192"/>
      <c r="M91" s="192">
        <v>119600000</v>
      </c>
      <c r="N91" s="192">
        <v>58500000</v>
      </c>
      <c r="O91" s="202">
        <v>61100000</v>
      </c>
      <c r="P91" s="192">
        <v>58500000</v>
      </c>
      <c r="Q91" s="192">
        <f>P91</f>
        <v>58500000</v>
      </c>
      <c r="R91" s="340"/>
    </row>
    <row r="92" spans="1:18" s="179" customFormat="1" ht="45.75" customHeight="1">
      <c r="A92" s="314"/>
      <c r="B92" s="314"/>
      <c r="C92" s="314"/>
      <c r="D92" s="353"/>
      <c r="E92" s="314"/>
      <c r="F92" s="227" t="s">
        <v>358</v>
      </c>
      <c r="G92" s="314"/>
      <c r="H92" s="314"/>
      <c r="I92" s="228">
        <v>20000000</v>
      </c>
      <c r="J92" s="228">
        <v>6000000</v>
      </c>
      <c r="K92" s="229">
        <v>14000000</v>
      </c>
      <c r="L92" s="229"/>
      <c r="M92" s="229"/>
      <c r="N92" s="229"/>
      <c r="O92" s="204"/>
      <c r="P92" s="229"/>
      <c r="Q92" s="229"/>
      <c r="R92" s="340"/>
    </row>
    <row r="93" spans="1:18" s="179" customFormat="1" ht="30" customHeight="1">
      <c r="A93" s="308"/>
      <c r="B93" s="308"/>
      <c r="C93" s="308"/>
      <c r="D93" s="354"/>
      <c r="E93" s="308"/>
      <c r="F93" s="225" t="s">
        <v>257</v>
      </c>
      <c r="G93" s="308"/>
      <c r="H93" s="308"/>
      <c r="I93" s="230">
        <f>SUM(I89:I92)</f>
        <v>595800000</v>
      </c>
      <c r="J93" s="230">
        <f t="shared" ref="J93:P93" si="23">SUM(J89:J92)</f>
        <v>463200000</v>
      </c>
      <c r="K93" s="230">
        <f t="shared" si="23"/>
        <v>132600000</v>
      </c>
      <c r="L93" s="230">
        <f>243200000+169500000-8000000</f>
        <v>404700000</v>
      </c>
      <c r="M93" s="230">
        <f t="shared" si="23"/>
        <v>119600000</v>
      </c>
      <c r="N93" s="230">
        <f t="shared" si="23"/>
        <v>58500000</v>
      </c>
      <c r="O93" s="230">
        <f t="shared" si="23"/>
        <v>61100000</v>
      </c>
      <c r="P93" s="230">
        <f t="shared" si="23"/>
        <v>58500000</v>
      </c>
      <c r="Q93" s="230">
        <f>P93</f>
        <v>58500000</v>
      </c>
      <c r="R93" s="341"/>
    </row>
  </sheetData>
  <mergeCells count="160">
    <mergeCell ref="A89:A93"/>
    <mergeCell ref="B89:B93"/>
    <mergeCell ref="C89:C93"/>
    <mergeCell ref="D89:D93"/>
    <mergeCell ref="E89:E93"/>
    <mergeCell ref="G89:G93"/>
    <mergeCell ref="H89:H93"/>
    <mergeCell ref="R89:R93"/>
    <mergeCell ref="A85:A87"/>
    <mergeCell ref="B85:B87"/>
    <mergeCell ref="C85:C87"/>
    <mergeCell ref="D85:D87"/>
    <mergeCell ref="E85:E87"/>
    <mergeCell ref="G85:G87"/>
    <mergeCell ref="H85:H87"/>
    <mergeCell ref="R85:R87"/>
    <mergeCell ref="B88:E88"/>
    <mergeCell ref="A80:A84"/>
    <mergeCell ref="B80:B84"/>
    <mergeCell ref="C80:C84"/>
    <mergeCell ref="D80:D84"/>
    <mergeCell ref="E80:E84"/>
    <mergeCell ref="R70:R73"/>
    <mergeCell ref="A74:A78"/>
    <mergeCell ref="B74:B78"/>
    <mergeCell ref="C74:C78"/>
    <mergeCell ref="D74:D78"/>
    <mergeCell ref="E74:E78"/>
    <mergeCell ref="G74:G78"/>
    <mergeCell ref="H74:H78"/>
    <mergeCell ref="R74:R78"/>
    <mergeCell ref="G80:G83"/>
    <mergeCell ref="H80:H83"/>
    <mergeCell ref="R80:R84"/>
    <mergeCell ref="R65:R69"/>
    <mergeCell ref="A70:A73"/>
    <mergeCell ref="B70:B73"/>
    <mergeCell ref="C70:C73"/>
    <mergeCell ref="D70:D73"/>
    <mergeCell ref="E70:E73"/>
    <mergeCell ref="G70:G73"/>
    <mergeCell ref="H70:H73"/>
    <mergeCell ref="B79:D79"/>
    <mergeCell ref="R52:R56"/>
    <mergeCell ref="A58:A63"/>
    <mergeCell ref="B58:B63"/>
    <mergeCell ref="C58:C63"/>
    <mergeCell ref="D58:D63"/>
    <mergeCell ref="E58:E63"/>
    <mergeCell ref="G58:G62"/>
    <mergeCell ref="H58:H62"/>
    <mergeCell ref="R58:R63"/>
    <mergeCell ref="A52:A57"/>
    <mergeCell ref="B52:B57"/>
    <mergeCell ref="C52:C57"/>
    <mergeCell ref="D52:D57"/>
    <mergeCell ref="E52:E57"/>
    <mergeCell ref="G52:G56"/>
    <mergeCell ref="H52:H56"/>
    <mergeCell ref="B64:D64"/>
    <mergeCell ref="A65:A69"/>
    <mergeCell ref="B65:B69"/>
    <mergeCell ref="C65:C69"/>
    <mergeCell ref="D65:D69"/>
    <mergeCell ref="E65:E69"/>
    <mergeCell ref="G65:G69"/>
    <mergeCell ref="H65:H69"/>
    <mergeCell ref="B46:D46"/>
    <mergeCell ref="A47:A51"/>
    <mergeCell ref="B47:B51"/>
    <mergeCell ref="C47:C51"/>
    <mergeCell ref="D47:D51"/>
    <mergeCell ref="E47:E51"/>
    <mergeCell ref="G47:G50"/>
    <mergeCell ref="H47:H50"/>
    <mergeCell ref="R47:R50"/>
    <mergeCell ref="H32:H34"/>
    <mergeCell ref="R32:R34"/>
    <mergeCell ref="B35:D35"/>
    <mergeCell ref="A36:A40"/>
    <mergeCell ref="B36:B40"/>
    <mergeCell ref="C36:C40"/>
    <mergeCell ref="D36:D40"/>
    <mergeCell ref="E36:E40"/>
    <mergeCell ref="G36:G40"/>
    <mergeCell ref="H36:H40"/>
    <mergeCell ref="R36:R40"/>
    <mergeCell ref="A41:A45"/>
    <mergeCell ref="B41:B45"/>
    <mergeCell ref="C41:C45"/>
    <mergeCell ref="D41:D45"/>
    <mergeCell ref="E41:E45"/>
    <mergeCell ref="G41:G45"/>
    <mergeCell ref="H41:H45"/>
    <mergeCell ref="R41:R45"/>
    <mergeCell ref="H22:H25"/>
    <mergeCell ref="R22:R25"/>
    <mergeCell ref="A27:A30"/>
    <mergeCell ref="B27:B30"/>
    <mergeCell ref="C27:C30"/>
    <mergeCell ref="D27:D30"/>
    <mergeCell ref="E27:E30"/>
    <mergeCell ref="G27:G29"/>
    <mergeCell ref="H27:H29"/>
    <mergeCell ref="R27:R30"/>
    <mergeCell ref="B21:D21"/>
    <mergeCell ref="A22:A26"/>
    <mergeCell ref="B22:B26"/>
    <mergeCell ref="C22:C26"/>
    <mergeCell ref="D22:D26"/>
    <mergeCell ref="E22:E26"/>
    <mergeCell ref="G22:G25"/>
    <mergeCell ref="B31:D31"/>
    <mergeCell ref="A32:A34"/>
    <mergeCell ref="B32:B34"/>
    <mergeCell ref="C32:C34"/>
    <mergeCell ref="D32:D34"/>
    <mergeCell ref="E32:E34"/>
    <mergeCell ref="G32:G34"/>
    <mergeCell ref="A15:A19"/>
    <mergeCell ref="B15:B19"/>
    <mergeCell ref="C15:C19"/>
    <mergeCell ref="D15:D19"/>
    <mergeCell ref="E15:E19"/>
    <mergeCell ref="G15:G18"/>
    <mergeCell ref="H15:H18"/>
    <mergeCell ref="R15:R19"/>
    <mergeCell ref="B20:D20"/>
    <mergeCell ref="B8:D8"/>
    <mergeCell ref="B9:D9"/>
    <mergeCell ref="A10:A14"/>
    <mergeCell ref="B10:B14"/>
    <mergeCell ref="C10:C14"/>
    <mergeCell ref="D10:D14"/>
    <mergeCell ref="R4:R6"/>
    <mergeCell ref="I5:I6"/>
    <mergeCell ref="J5:J6"/>
    <mergeCell ref="K5:K6"/>
    <mergeCell ref="M5:M6"/>
    <mergeCell ref="N5:O5"/>
    <mergeCell ref="H4:H6"/>
    <mergeCell ref="I4:K4"/>
    <mergeCell ref="L4:L6"/>
    <mergeCell ref="M4:O4"/>
    <mergeCell ref="P4:P6"/>
    <mergeCell ref="Q4:Q6"/>
    <mergeCell ref="E10:E14"/>
    <mergeCell ref="G10:G13"/>
    <mergeCell ref="H10:H13"/>
    <mergeCell ref="R10:R14"/>
    <mergeCell ref="A1:R1"/>
    <mergeCell ref="A2:R2"/>
    <mergeCell ref="Q3:R3"/>
    <mergeCell ref="A4:A6"/>
    <mergeCell ref="B4:B6"/>
    <mergeCell ref="C4:C6"/>
    <mergeCell ref="D4:D6"/>
    <mergeCell ref="E4:E6"/>
    <mergeCell ref="F4:F6"/>
    <mergeCell ref="G4:G6"/>
  </mergeCells>
  <pageMargins left="0.7" right="0.27" top="0.75" bottom="0.75" header="0.3" footer="0.3"/>
  <pageSetup paperSize="9" scale="36" firstPageNumber="28" pageOrder="overThenDown" orientation="landscape" useFirstPageNumber="1" r:id="rId1"/>
  <headerFoot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8040F126D0B4B4DB83E10593CC9657E" ma:contentTypeVersion="2" ma:contentTypeDescription="Create a new document." ma:contentTypeScope="" ma:versionID="bc865b4f45415bd6d9edb59b6d820544">
  <xsd:schema xmlns:xsd="http://www.w3.org/2001/XMLSchema" xmlns:xs="http://www.w3.org/2001/XMLSchema" xmlns:p="http://schemas.microsoft.com/office/2006/metadata/properties" xmlns:ns2="24e12227-0b0d-4b23-9586-977e009500b0" xmlns:ns3="ae4e42cd-c673-4541-a17d-d353a4125f5e" targetNamespace="http://schemas.microsoft.com/office/2006/metadata/properties" ma:root="true" ma:fieldsID="0acf8286736a2877a680aa0849ebe948" ns2:_="" ns3:_="">
    <xsd:import namespace="24e12227-0b0d-4b23-9586-977e009500b0"/>
    <xsd:import namespace="ae4e42cd-c673-4541-a17d-d353a4125f5e"/>
    <xsd:element name="properties">
      <xsd:complexType>
        <xsd:sequence>
          <xsd:element name="documentManagement">
            <xsd:complexType>
              <xsd:all>
                <xsd:element ref="ns2:MaTinBai" minOccurs="0"/>
                <xsd:element ref="ns2:KieuTepTi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e12227-0b0d-4b23-9586-977e009500b0" elementFormDefault="qualified">
    <xsd:import namespace="http://schemas.microsoft.com/office/2006/documentManagement/types"/>
    <xsd:import namespace="http://schemas.microsoft.com/office/infopath/2007/PartnerControls"/>
    <xsd:element name="MaTinBai" ma:index="8" nillable="true" ma:displayName="MaTinBai" ma:internalName="MaTinBai">
      <xsd:simpleType>
        <xsd:restriction base="dms:Text">
          <xsd:maxLength value="255"/>
        </xsd:restriction>
      </xsd:simpleType>
    </xsd:element>
    <xsd:element name="KieuTepTin" ma:index="9" nillable="true" ma:displayName="KieuTepTin" ma:default="Tài liệu đính kèm" ma:format="Dropdown" ma:internalName="KieuTepTin">
      <xsd:simpleType>
        <xsd:restriction base="dms:Choice">
          <xsd:enumeration value="Tài liệu đính kèm"/>
          <xsd:enumeration value="Tài liệu"/>
          <xsd:enumeration value="Khác"/>
        </xsd:restriction>
      </xsd:simpleType>
    </xsd:element>
  </xsd:schema>
  <xsd:schema xmlns:xsd="http://www.w3.org/2001/XMLSchema" xmlns:xs="http://www.w3.org/2001/XMLSchema" xmlns:dms="http://schemas.microsoft.com/office/2006/documentManagement/types" xmlns:pc="http://schemas.microsoft.com/office/infopath/2007/PartnerControls" targetNamespace="ae4e42cd-c673-4541-a17d-d353a4125f5e"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KieuTepTin xmlns="24e12227-0b0d-4b23-9586-977e009500b0">Tài liệu đính kèm</KieuTepTin>
    <MaTinBai xmlns="24e12227-0b0d-4b23-9586-977e009500b0">472b3a188030b1f3</MaTinBai>
    <_dlc_DocId xmlns="ae4e42cd-c673-4541-a17d-d353a4125f5e">DDYPFUVZ5X6F-6-5357</_dlc_DocId>
    <_dlc_DocIdUrl xmlns="ae4e42cd-c673-4541-a17d-d353a4125f5e">
      <Url>https://dbdc.backan.gov.vn/_layouts/15/DocIdRedir.aspx?ID=DDYPFUVZ5X6F-6-5357</Url>
      <Description>DDYPFUVZ5X6F-6-5357</Description>
    </_dlc_DocIdUrl>
  </documentManagement>
</p:properties>
</file>

<file path=customXml/itemProps1.xml><?xml version="1.0" encoding="utf-8"?>
<ds:datastoreItem xmlns:ds="http://schemas.openxmlformats.org/officeDocument/2006/customXml" ds:itemID="{3F42D47C-FF6D-4E3E-AED3-9CD40A8ADCCD}"/>
</file>

<file path=customXml/itemProps2.xml><?xml version="1.0" encoding="utf-8"?>
<ds:datastoreItem xmlns:ds="http://schemas.openxmlformats.org/officeDocument/2006/customXml" ds:itemID="{7918ADFD-74B0-4015-9D34-5940C5A1245C}"/>
</file>

<file path=customXml/itemProps3.xml><?xml version="1.0" encoding="utf-8"?>
<ds:datastoreItem xmlns:ds="http://schemas.openxmlformats.org/officeDocument/2006/customXml" ds:itemID="{FAF7677D-D8E2-4E84-91CA-454163865487}"/>
</file>

<file path=customXml/itemProps4.xml><?xml version="1.0" encoding="utf-8"?>
<ds:datastoreItem xmlns:ds="http://schemas.openxmlformats.org/officeDocument/2006/customXml" ds:itemID="{BD3E9499-45FE-4502-A83F-B56C20289AC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Biểu tổng hợp</vt:lpstr>
      <vt:lpstr>Biểu số 01</vt:lpstr>
      <vt:lpstr>Biểu số 02</vt:lpstr>
      <vt:lpstr>Biểu số 03</vt:lpstr>
      <vt:lpstr>Biểu số 3.1</vt:lpstr>
      <vt:lpstr>'Biểu số 01'!Print_Titles</vt:lpstr>
      <vt:lpstr>'Biểu số 02'!Print_Titles</vt:lpstr>
      <vt:lpstr>'Biểu số 03'!Print_Titles</vt:lpstr>
      <vt:lpstr>'Biểu số 3.1'!Print_Titles</vt:lpstr>
      <vt:lpstr>'Biểu tổng hợp'!Print_Titles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LANHM</cp:lastModifiedBy>
  <cp:lastPrinted>2023-05-22T06:17:32Z</cp:lastPrinted>
  <dcterms:created xsi:type="dcterms:W3CDTF">2023-05-08T02:19:09Z</dcterms:created>
  <dcterms:modified xsi:type="dcterms:W3CDTF">2023-05-22T07:29:21Z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0x010100A8040F126D0B4B4DB83E10593CC9657E</vt:lpwstr>
  </property>
  <property fmtid="{D5CDD505-2E9C-101B-9397-08002B2CF9AE}" pid="3" name="_dlc_DocIdItemGuid">
    <vt:lpwstr>2ab410c6-6f52-4f28-8d9a-6bd44156ba5f</vt:lpwstr>
  </property>
</Properties>
</file>