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23040" windowHeight="8652" activeTab="0"/>
  </bookViews>
  <sheets>
    <sheet name="biểu 1" sheetId="1" r:id="rId1"/>
    <sheet name="Bieu3 TW trong nuoc" sheetId="2" state="hidden" r:id="rId2"/>
    <sheet name="Biểu 4 ODA" sheetId="3" state="hidden" r:id="rId3"/>
    <sheet name="Biểu 5. CTMTQG giảm nghèo" sheetId="4" state="hidden" r:id="rId4"/>
    <sheet name="Biểu 6. CTMTQG DTTS" sheetId="5" state="hidden" r:id="rId5"/>
    <sheet name="Bieu 7 NTM" sheetId="6" state="hidden" r:id="rId6"/>
    <sheet name="Biểu 4.ODA" sheetId="7" state="hidden" r:id="rId7"/>
  </sheets>
  <externalReferences>
    <externalReference r:id="rId10"/>
    <externalReference r:id="rId11"/>
  </externalReferences>
  <definedNames>
    <definedName name="_xlnm._FilterDatabase" localSheetId="1" hidden="1">'Bieu3 TW trong nuoc'!$A$8:$AI$51</definedName>
    <definedName name="_xlnm.Print_Area" localSheetId="0">'biểu 1'!$A:$AI</definedName>
    <definedName name="_xlnm.Print_Area" localSheetId="2">'Biểu 4 ODA'!$A:$AN</definedName>
    <definedName name="_xlnm.Print_Area" localSheetId="1">'Bieu3 TW trong nuoc'!$A:$AH</definedName>
    <definedName name="_xlnm.Print_Titles" localSheetId="0">'biểu 1'!$5:$8</definedName>
    <definedName name="_xlnm.Print_Titles" localSheetId="2">'Biểu 4 ODA'!$4:$11</definedName>
    <definedName name="_xlnm.Print_Titles" localSheetId="1">'Bieu3 TW trong nuoc'!$4:$9</definedName>
  </definedNames>
  <calcPr fullCalcOnLoad="1"/>
</workbook>
</file>

<file path=xl/comments2.xml><?xml version="1.0" encoding="utf-8"?>
<comments xmlns="http://schemas.openxmlformats.org/spreadsheetml/2006/main">
  <authors>
    <author>KHDT-T2B</author>
  </authors>
  <commentList>
    <comment ref="O23" authorId="0">
      <text>
        <r>
          <rPr>
            <b/>
            <sz val="9"/>
            <rFont val="Tahoma"/>
            <family val="2"/>
          </rPr>
          <t>KHDT-T2B:</t>
        </r>
        <r>
          <rPr>
            <sz val="9"/>
            <rFont val="Tahoma"/>
            <family val="2"/>
          </rPr>
          <t xml:space="preserve">
Không cho phép kéo dài</t>
        </r>
      </text>
    </comment>
    <comment ref="O27" authorId="0">
      <text>
        <r>
          <rPr>
            <b/>
            <sz val="9"/>
            <rFont val="Tahoma"/>
            <family val="2"/>
          </rPr>
          <t>KHDT-T2B:</t>
        </r>
        <r>
          <rPr>
            <sz val="9"/>
            <rFont val="Tahoma"/>
            <family val="2"/>
          </rPr>
          <t xml:space="preserve">
Không cho phéo kéo dài</t>
        </r>
      </text>
    </comment>
    <comment ref="O28" authorId="0">
      <text>
        <r>
          <rPr>
            <b/>
            <sz val="9"/>
            <rFont val="Tahoma"/>
            <family val="2"/>
          </rPr>
          <t>KHDT-T2B:</t>
        </r>
        <r>
          <rPr>
            <sz val="9"/>
            <rFont val="Tahoma"/>
            <family val="2"/>
          </rPr>
          <t xml:space="preserve">
Không cho phéo kéo dài</t>
        </r>
      </text>
    </comment>
    <comment ref="O31" authorId="0">
      <text>
        <r>
          <rPr>
            <b/>
            <sz val="9"/>
            <rFont val="Tahoma"/>
            <family val="2"/>
          </rPr>
          <t>KHDT-T2B:</t>
        </r>
        <r>
          <rPr>
            <sz val="9"/>
            <rFont val="Tahoma"/>
            <family val="2"/>
          </rPr>
          <t xml:space="preserve">
Không cho phéo kéo dài</t>
        </r>
      </text>
    </comment>
    <comment ref="O42" authorId="0">
      <text>
        <r>
          <rPr>
            <b/>
            <sz val="9"/>
            <rFont val="Tahoma"/>
            <family val="2"/>
          </rPr>
          <t>KHDT-T2B:</t>
        </r>
        <r>
          <rPr>
            <sz val="9"/>
            <rFont val="Tahoma"/>
            <family val="2"/>
          </rPr>
          <t xml:space="preserve">
Không cho phéo kéo dài</t>
        </r>
      </text>
    </comment>
    <comment ref="O43" authorId="0">
      <text>
        <r>
          <rPr>
            <b/>
            <sz val="9"/>
            <rFont val="Tahoma"/>
            <family val="2"/>
          </rPr>
          <t>KHDT-T2B:</t>
        </r>
        <r>
          <rPr>
            <sz val="9"/>
            <rFont val="Tahoma"/>
            <family val="2"/>
          </rPr>
          <t xml:space="preserve">
Không cho phéo kéo dài</t>
        </r>
      </text>
    </comment>
  </commentList>
</comments>
</file>

<file path=xl/sharedStrings.xml><?xml version="1.0" encoding="utf-8"?>
<sst xmlns="http://schemas.openxmlformats.org/spreadsheetml/2006/main" count="950" uniqueCount="439">
  <si>
    <t>Đơn vị: Triệu đồng</t>
  </si>
  <si>
    <t>Tổng số (tất cả các nguồn vốn)</t>
  </si>
  <si>
    <t>TỔNG SỐ</t>
  </si>
  <si>
    <t xml:space="preserve">Trong đó: </t>
  </si>
  <si>
    <t>Trong đó:</t>
  </si>
  <si>
    <t>Quy đổi ra tiền Việt</t>
  </si>
  <si>
    <t>Danh mục dự án</t>
  </si>
  <si>
    <t>1</t>
  </si>
  <si>
    <t>Dự án nhóm B</t>
  </si>
  <si>
    <t>STT</t>
  </si>
  <si>
    <t>TT</t>
  </si>
  <si>
    <t>Quyết định đầu tư</t>
  </si>
  <si>
    <t>Ghi chú</t>
  </si>
  <si>
    <t xml:space="preserve">Số quyết định </t>
  </si>
  <si>
    <t xml:space="preserve">TMĐT </t>
  </si>
  <si>
    <t>Tổng số</t>
  </si>
  <si>
    <t>A</t>
  </si>
  <si>
    <t>I</t>
  </si>
  <si>
    <t>II</t>
  </si>
  <si>
    <t>Nhà tài trợ</t>
  </si>
  <si>
    <t>Ngày kết thúc Hiệp định</t>
  </si>
  <si>
    <t>Tính bằng nguyên tệ</t>
  </si>
  <si>
    <t>Đưa vào cân đối NSTW</t>
  </si>
  <si>
    <t>Vay lại</t>
  </si>
  <si>
    <t>Trong đó: vốn NSTW</t>
  </si>
  <si>
    <t>Vốn đối ứng nguồn NSTW</t>
  </si>
  <si>
    <t xml:space="preserve">Vốn nước ngoài (vốn NSTW) </t>
  </si>
  <si>
    <t>Vốn nước ngoài (theo Hiệp định)</t>
  </si>
  <si>
    <t>Vốn đối ứng</t>
  </si>
  <si>
    <t>WB</t>
  </si>
  <si>
    <t>Ngành/lĩnh vực giao thông</t>
  </si>
  <si>
    <t>30/6/2023</t>
  </si>
  <si>
    <t>2529/QĐ-TTg, 21/12/2015; 622/QĐ-BGTVT, 02/3/2016</t>
  </si>
  <si>
    <t>8.700.000 USD</t>
  </si>
  <si>
    <t>Dự án Hạ tầng cơ bản cho phát triển toàn diện các tỉnh vùng Đông Bắc: Hà Giang, Cao Bằng, Bắc Kạn, Lạng Sơn- Tiểu dự án tỉnh Bắc Kạn</t>
  </si>
  <si>
    <t>ADB</t>
  </si>
  <si>
    <t>30/9/2023</t>
  </si>
  <si>
    <t>1205/QĐ-TTg 17/8/2017; Bắc Kạn: 1249/ QĐ-UBND 25/8/2017; 1767/QĐ-UBND 23/10/2018</t>
  </si>
  <si>
    <t>33.750.000 USD</t>
  </si>
  <si>
    <t>III</t>
  </si>
  <si>
    <t>Dự án hỗ trợ kinh doanh cho nông hộ tỉnh Bắc Kạn (CSSP)</t>
  </si>
  <si>
    <t>IFAD</t>
  </si>
  <si>
    <t>31/3/2024</t>
  </si>
  <si>
    <t>21.250.000 USD</t>
  </si>
  <si>
    <t>IV</t>
  </si>
  <si>
    <t>Ngành/Lĩnh vực Y tế</t>
  </si>
  <si>
    <t>Dự án “Đầu tư xây dựng và phát triển hệ thống cung ứng dịch vụ y tế tuyến cơ sở”- Dự án thành phần tỉnh Bắc Kạn</t>
  </si>
  <si>
    <t>31/12/2024</t>
  </si>
  <si>
    <t xml:space="preserve"> 481, 29/3/2019; 223, 17/02/2020 </t>
  </si>
  <si>
    <t>5.330.000 USD</t>
  </si>
  <si>
    <t>Đơn vị tính: Triệu đồng</t>
  </si>
  <si>
    <t>Lũy kế vốn đã giao đến hết năm 2020</t>
  </si>
  <si>
    <t>Lũy kế vốn đã bố trí đến hết năm 2021</t>
  </si>
  <si>
    <t>Chủ đầu tư</t>
  </si>
  <si>
    <t>Số quyết định; ngày, tháng, năm ban hành</t>
  </si>
  <si>
    <t>Trong đó</t>
  </si>
  <si>
    <t>Thu hồi các khoản ứng trước</t>
  </si>
  <si>
    <t>Trong đó NSTW</t>
  </si>
  <si>
    <t>Quốc phòng</t>
  </si>
  <si>
    <t>Dự án khởi công mới</t>
  </si>
  <si>
    <t>Xây dựng cải tạo tuyến đường vào các xã CT229 huyện Bạch Thông, tỉnh Bắc Kạn</t>
  </si>
  <si>
    <t>Bộ Chỉ huy quân sự tỉnh</t>
  </si>
  <si>
    <t>Ban QLDA đầu tư xây dựng công trình giao thông tỉnh</t>
  </si>
  <si>
    <t>Giáo dục, đào tạo và giáo dục nghề nghiệp</t>
  </si>
  <si>
    <t>Đầu tư xây dựng, cải tạo, nâng cấp các trường học trên địa bàn tỉnh</t>
  </si>
  <si>
    <t>Ban QLDA ĐTXD tỉnh</t>
  </si>
  <si>
    <t>Phát thanh, truyền hình, thông tấn</t>
  </si>
  <si>
    <t>Đầu tư nâng cấp hệ thống sản xuất chương trình truyền hình Bắc Kạn</t>
  </si>
  <si>
    <t>Đài Phát thanh - Truyền hình</t>
  </si>
  <si>
    <t>V</t>
  </si>
  <si>
    <t>UBND thành phố Bắc Kạn</t>
  </si>
  <si>
    <t>VI</t>
  </si>
  <si>
    <t>Bảo vệ môi trường</t>
  </si>
  <si>
    <t>Hệ thống thu gom và xử lý nước thải các thôn khu vực hồ Ba Bể</t>
  </si>
  <si>
    <t>Sở Xây dựng</t>
  </si>
  <si>
    <t>VII</t>
  </si>
  <si>
    <t>Nông nghiệp</t>
  </si>
  <si>
    <t>Nâng cao năng lực phòng cháy chữa cháy rừng tỉnh Bắc Kạn</t>
  </si>
  <si>
    <t>Phát triển cơ sở hạ tầng vùng trồng cây ăn quả, cây công nghiệp lâu năm trên địa bàn tỉnh</t>
  </si>
  <si>
    <t>Đường lâm nghiệp tỉnh Bắc Kạn giai đoạn 2021-2025</t>
  </si>
  <si>
    <t>VIII</t>
  </si>
  <si>
    <t>Giao thông</t>
  </si>
  <si>
    <t>Xây dựng tuyến đường thành phố Bắc Kạn – Hồ Ba Bể kết nối sang Na Hang, Tuyên Quang</t>
  </si>
  <si>
    <t>UBND huyện Chợ Đồn</t>
  </si>
  <si>
    <t>UBND huyện Chợ Mới</t>
  </si>
  <si>
    <t>UBND huyện Pác Nặm</t>
  </si>
  <si>
    <t>Xây dựng đường giao thông nội thị Vân Tùng, huyện Ngân Sơn</t>
  </si>
  <si>
    <t>UBND huyện Ngân Sơn</t>
  </si>
  <si>
    <t xml:space="preserve">Đường nội thị phía Tây thị trấn Yến Lạc, huyện Na Rì </t>
  </si>
  <si>
    <t>UBND huyện Na Rì</t>
  </si>
  <si>
    <t>Đường kết nối vào Phiêng My, thành phố Bắc Kạn</t>
  </si>
  <si>
    <t>Đường nội thị thị trấn Phủ Thông, huyện Bạch Thông</t>
  </si>
  <si>
    <t>UBND huyện Bạch Thông</t>
  </si>
  <si>
    <t>Hạ tầng kỹ thuật trung tâm thị trấn Chợ Rã, huyện Ba Bể</t>
  </si>
  <si>
    <t>UBND huyện Ba Bể</t>
  </si>
  <si>
    <t>IX</t>
  </si>
  <si>
    <t>Du lịch</t>
  </si>
  <si>
    <t>Xây dựng tuyến đường Quảng Khê - Khang Ninh, huyện Ba Bể</t>
  </si>
  <si>
    <t>Xây dựng hạ tầng giao thông khu vực xung quanh hồ Ba Bể</t>
  </si>
  <si>
    <t>Công nghệ thông tin</t>
  </si>
  <si>
    <t>Nâng cấp, mở rộng hệ thống thông tin nền tảng phục vụ chính quyền điện tử tỉnh Bắc Kạn giai đoạn 2021-2025</t>
  </si>
  <si>
    <t>Đối ứng các dự án sử dụng vốn ODA và vốn vay ưu đãi các nhà tài trợ nước ngoài</t>
  </si>
  <si>
    <t>Trong đó:  NSTW</t>
  </si>
  <si>
    <t>Ngành/lĩnh vực nông nghiệp, lâm nghiệp, diêm nghiệp, thuỷ lợi và thủy sản</t>
  </si>
  <si>
    <t>Vốn cho dự án liên vùng</t>
  </si>
  <si>
    <t>Quyết định đầu tư/Quyết định phê duyệt chủ trương đầu tư</t>
  </si>
  <si>
    <t>Trung tâm CNTT&amp;TT</t>
  </si>
  <si>
    <t>Thời gian thực hiện dự án</t>
  </si>
  <si>
    <t>Khởi công</t>
  </si>
  <si>
    <t>Hoàn thành</t>
  </si>
  <si>
    <t>156/QĐ-UBND ngày 19/5/2021</t>
  </si>
  <si>
    <t>Tỷ lệ bố trí vốn lũy kế</t>
  </si>
  <si>
    <t>1627/QĐ-UBND ngày 1/9/2021</t>
  </si>
  <si>
    <t>1982/QĐ-UBND ngày 20/10/2021</t>
  </si>
  <si>
    <t xml:space="preserve">Thời gian khởi công - hoàn thành </t>
  </si>
  <si>
    <t>Quyết định phê duyệt quyết toán</t>
  </si>
  <si>
    <t>Kế hoạch vốn giai đoạn 2021-2025</t>
  </si>
  <si>
    <t>Lũy kế vốn đã bố trí đến năm 2021 nguồn vốn CĐNS tỉnh</t>
  </si>
  <si>
    <t>Giá trị quyết toán</t>
  </si>
  <si>
    <t>TỔNG CỘNG</t>
  </si>
  <si>
    <t>CHI XÂY DỰNG CƠ BẢN VỐN TẬP TRUNG TRONG NƯỚC</t>
  </si>
  <si>
    <t>A.I</t>
  </si>
  <si>
    <t>Nguồn ngân sách tỉnh điều hành</t>
  </si>
  <si>
    <t>Dự án quyết toán, dự án hoàn thành</t>
  </si>
  <si>
    <t>Khoa học và công nghệ</t>
  </si>
  <si>
    <t>Y tế, dân số và gia đình</t>
  </si>
  <si>
    <t>Sở Y tế</t>
  </si>
  <si>
    <t>Sở Văn hóa, Thể thao và Du lịch</t>
  </si>
  <si>
    <t>Phát thanh, truyền hình</t>
  </si>
  <si>
    <t>Sở Thông tin và Truyền thông</t>
  </si>
  <si>
    <t>Hoàn thiện hệ thống truyền thanh cơ sở</t>
  </si>
  <si>
    <t>Nông nghiệp, lâm nghiệp</t>
  </si>
  <si>
    <t>Dự án Quản lý rừng bền vững và đa dạng sinh học nhằm giảm phát thải CO2</t>
  </si>
  <si>
    <t>QĐ số 4714/QĐ-BNN-HTQT ngày 13/11/2015, QĐ số 1879/QĐ-UBND ngày 08/11/2017</t>
  </si>
  <si>
    <t>Quy hoạch</t>
  </si>
  <si>
    <t>Lập Quy hoạch tỉnh Bắc Kạn thời kỳ 2021-2030, tầm nhìn đến năm 2050</t>
  </si>
  <si>
    <t>Sở Kế hoạch và Đầu tư</t>
  </si>
  <si>
    <t>Hoạt động của các cơ quan quản lý nhà nước</t>
  </si>
  <si>
    <t>Sở NN&amp;PTNT</t>
  </si>
  <si>
    <t>Sở Lao động, Thương binh và Xã hội</t>
  </si>
  <si>
    <t>Cải tạo, sửa chữa Nhà Văn hóa tỉnh</t>
  </si>
  <si>
    <t>Đối ứng dự án ODA</t>
  </si>
  <si>
    <t>1205/QĐ-TTg 17/8/2017; 1249/QĐ-UBND 25/8/2017; 1767/QĐ-UBND 23/10/2018</t>
  </si>
  <si>
    <t>Sửa chữa và nâng cao an toàn đập</t>
  </si>
  <si>
    <t>4638/QĐ-BNN-HTQT, 9/11/2015</t>
  </si>
  <si>
    <t>1438/QĐ-UBND, 07/9/2016; 762/QĐ-UBND, 02/06/2017; 1896/QĐ-UBND, 21/10/2020</t>
  </si>
  <si>
    <t xml:space="preserve">481/QĐ-UBND, 29/3/2019  và  223/QĐ-UBND, 17/02/2020 </t>
  </si>
  <si>
    <t>A.II</t>
  </si>
  <si>
    <t>Phân bổ cho cấp huyện điều hành</t>
  </si>
  <si>
    <t>Thành phố Bắc Kạn</t>
  </si>
  <si>
    <t>Huyện Bạch Thông</t>
  </si>
  <si>
    <t>Huyện Chợ Đồn</t>
  </si>
  <si>
    <t>Huyện Na Rì</t>
  </si>
  <si>
    <t>Huyện Pác Nặm</t>
  </si>
  <si>
    <t>Huyện Ba Bể</t>
  </si>
  <si>
    <t>Huyện Ngân Sơn</t>
  </si>
  <si>
    <t>Huyện Chợ Mới</t>
  </si>
  <si>
    <t>B</t>
  </si>
  <si>
    <t>ĐẦU TƯ TỪ NGUỒN THU SỬ DỤNG ĐẤT</t>
  </si>
  <si>
    <t>B.1</t>
  </si>
  <si>
    <t>B.2</t>
  </si>
  <si>
    <t>Sở Khoa học công nghệ</t>
  </si>
  <si>
    <t>Ban Điều phối dự án CSSP tỉnh</t>
  </si>
  <si>
    <t>1645/QĐ-UBND ngày 6/9/2021</t>
  </si>
  <si>
    <t>1643/QĐ-UBND ngày 6/9/2021</t>
  </si>
  <si>
    <t>Đầu tư trang thiết bị đo lường, thử nghiệm thuộc Sở Khoa học và Công nghệ giai đoạn 2021-2025</t>
  </si>
  <si>
    <t>Tỷ lệ vốn đã bố trí</t>
  </si>
  <si>
    <t>Dự án khởi công mới giai đoạn 2021-2025</t>
  </si>
  <si>
    <t>Kế hoạch đầu tư vốn NSTW năm 2021</t>
  </si>
  <si>
    <t>Chủ đầu tư/Đơn vị thực hiện</t>
  </si>
  <si>
    <t>Cấp tỉnh điều hành</t>
  </si>
  <si>
    <t>Cấp huyện điều hành</t>
  </si>
  <si>
    <t>Tổng mức đầu tư</t>
  </si>
  <si>
    <t>Biểu số 03</t>
  </si>
  <si>
    <t>2308/QĐ-UBND ngày 29/11/2021</t>
  </si>
  <si>
    <t>2226/QĐ-UBND ngày 18/11/2021</t>
  </si>
  <si>
    <t>2402/QĐ-UBND ngày 10/12/2021</t>
  </si>
  <si>
    <t>2490/QĐ-UBND ngày 20/12/2021</t>
  </si>
  <si>
    <t>2477/QĐ-UBND ngày 17/12/2021</t>
  </si>
  <si>
    <t>2478/QĐ-UBND ngày 17/12/2021</t>
  </si>
  <si>
    <t>Đường nội thị, thị trấn Đồng Tâm, huyện Chợ Mới, tỉnh Bắc Kạn</t>
  </si>
  <si>
    <t>2471/QĐ-UBND ngày 17/12/2021</t>
  </si>
  <si>
    <t>Xây dựng Hạ tầng trung tâm huyện Pác Nặm</t>
  </si>
  <si>
    <t>2470/QĐ-UBND ngày 17/12/2021</t>
  </si>
  <si>
    <t>2489/QĐ-UBND ngày 20/12/2021</t>
  </si>
  <si>
    <t>2555/QĐ-UBND ngày 27/12/2021</t>
  </si>
  <si>
    <t>2619/QĐ-UBND ngày 30/12/2021</t>
  </si>
  <si>
    <t>Kế hoạch đầu tư vốn CĐNS năm 2021</t>
  </si>
  <si>
    <t>Giải ngân kế hoạch 2021 đến 31/1/2022</t>
  </si>
  <si>
    <t>Kế hoạch năm 2021</t>
  </si>
  <si>
    <t>Giải ngân kế hoạch NSTW 2021 đến 31/1/2021</t>
  </si>
  <si>
    <t>2357/QĐ-UBND ngày 26/11/2019; 2122/QĐ-UBND ngày 19/11/2020; 349/QĐ-UBND ngày 3/3/2022</t>
  </si>
  <si>
    <t>330/QĐ-UBND ngày 02/3/2022</t>
  </si>
  <si>
    <t>Kế hoạch đầu tư vốn NSTW năm 2022</t>
  </si>
  <si>
    <t>664/QĐ-UBND ngày 25/4/2022</t>
  </si>
  <si>
    <t>Ban QLDA đầu tư xây dựng công trình NN&amp;PTNT tỉnh Bắc Kạn</t>
  </si>
  <si>
    <t>Đối ứng các Chương trình mục tiêu quốc gia</t>
  </si>
  <si>
    <t>Chương trình mục tiêu quốc gia giảm nghèo bền vững</t>
  </si>
  <si>
    <t>Phân cấp huyện điều hành</t>
  </si>
  <si>
    <t>Chương trình mục tiêu quốc gia phát triển kinh tế - xã hội vùng đồng bào dân tộc thiểu số và miền núi</t>
  </si>
  <si>
    <t>Phân cấp tỉnh điều hành</t>
  </si>
  <si>
    <t xml:space="preserve">Huyện Ngân Sơn </t>
  </si>
  <si>
    <t>Chương trình mục tiêu quốc gia xây dựng nông thôn mới</t>
  </si>
  <si>
    <t>đ.1</t>
  </si>
  <si>
    <t>-</t>
  </si>
  <si>
    <t>đ.2</t>
  </si>
  <si>
    <t>đ.3</t>
  </si>
  <si>
    <t>1038/QĐ-UBND ngày 13/6/2022</t>
  </si>
  <si>
    <t>1037/QĐ-UBND ngày 13/6/2022</t>
  </si>
  <si>
    <t>Bệnh viện đa khoa huyện Bạch Thông</t>
  </si>
  <si>
    <t>2537/QĐ-UBND ngày 23/4/2014</t>
  </si>
  <si>
    <t>1348/QĐ-UBND ngày 29/7/2021</t>
  </si>
  <si>
    <t xml:space="preserve">Hỗ trợ kinh phí lập quy hoạch chung xã </t>
  </si>
  <si>
    <t>Phát triển cơ sở hạ tầng thích ứng với biến đổi khí hậu để hỗ trợ sản xuất cho đồng bào dân tộc các tỉnh miền núi, trung du phía Bắc tỉnh Bắc Kạn</t>
  </si>
  <si>
    <t>Kế hoạch vốn giai đoạn 2023-2025 còn lại</t>
  </si>
  <si>
    <t>Dự kiến KH năm 2023 vốn NSTW</t>
  </si>
  <si>
    <t>Nguồn vốn chương trình phục hồi và phát triển kinh tế xã hội</t>
  </si>
  <si>
    <t>Nguồn vốn chương trình phục hồi và phát triển kinh tế xã hội bổ sung</t>
  </si>
  <si>
    <t>THEO NGÀNH, LĨNH VỰC</t>
  </si>
  <si>
    <t>TỔNG</t>
  </si>
  <si>
    <t>NGUỒN VỐN THỰC HIỆN CHƯƠNG TRÌNH MỤC TIÊU QUỐC GIA</t>
  </si>
  <si>
    <t>Tên công trình/đơn vị</t>
  </si>
  <si>
    <t>Địa điểm</t>
  </si>
  <si>
    <t>Quy mô đầu tư dự kiến</t>
  </si>
  <si>
    <t>Dự kiến thời gian thực hiện</t>
  </si>
  <si>
    <t>Dự toán vốn năm 2022</t>
  </si>
  <si>
    <t>Tổng</t>
  </si>
  <si>
    <t>Ngân sách TW</t>
  </si>
  <si>
    <t>Nguồn vốn tỉnh đối ứng</t>
  </si>
  <si>
    <t>TỈNH ĐIỀU HÀNH</t>
  </si>
  <si>
    <t xml:space="preserve">Dự án 4: Phát triển giáo dục nghề nghiệp, việc làm bền vững </t>
  </si>
  <si>
    <t>I.1</t>
  </si>
  <si>
    <t>Tiểu dự án 1: Phát triển giáo dục nghề nghiệp vùng nghèo, vùng khó khăn - tỉnh điều hành</t>
  </si>
  <si>
    <t>Đầu tư xây dựng cơ sở vật chất và các công trình phụ trợ phục vụ đào tạo nhân lực chất lượng cao giai đoạn 2021 - 2025 và định hướng đến năm 2030 tại trường Cao đẳng Bắc Kạn - phân cấp huyện điều hành</t>
  </si>
  <si>
    <t>Đầu tư xây dựng các tòa nhà chức năng, sữa chữa nhà xưởng, phòng học ký túc xá…</t>
  </si>
  <si>
    <t>2022-2025</t>
  </si>
  <si>
    <t>I.2</t>
  </si>
  <si>
    <t>Tiểu dự án 3: Hỗ trợ việc làm bền vững</t>
  </si>
  <si>
    <t>Dự án mua sắm trang thiết bị, nâng cấp hệ thống kết nối trực tuyến</t>
  </si>
  <si>
    <t>Tỉnh Bắc Kạn</t>
  </si>
  <si>
    <t xml:space="preserve">Mua sắm trang thiết bị công nghệ thông tin </t>
  </si>
  <si>
    <t>PHÂN CẤP HUYỆN ĐIỀU HÀNH</t>
  </si>
  <si>
    <t>Dự án 1: Hỗ trợ đầu tư phát triển hạ tầng kinh tế - xã hội các huyện nghèo</t>
  </si>
  <si>
    <t>Biểu số 05</t>
  </si>
  <si>
    <t>DỰ KIẾN VỐN ĐẦU TƯ PHÁT TRIỂN THỰC HIỆN CHƯƠNG TRÌNH MỤC TIÊU QUỐC GIA GIẢM NGHÈO BỀN VỮNG NĂM 2023</t>
  </si>
  <si>
    <t>TMĐT</t>
  </si>
  <si>
    <t>Kế hoạch vốn năm 2022</t>
  </si>
  <si>
    <t>Dự kiến kế hoạch năm 2023</t>
  </si>
  <si>
    <t>(Kèm theo Tờ trình số  81/TTr-SKHĐT ngày 29/7/2022 của Sở Kế hoạch và Đầu tư tỉnh Bắc Kạn)</t>
  </si>
  <si>
    <t>Tên dự án, công trình</t>
  </si>
  <si>
    <t>Địa điểm xây dựng</t>
  </si>
  <si>
    <t>Quy mô công trình dự kiến</t>
  </si>
  <si>
    <t>DỰ ÁN 1 - GIẢI QUYẾT TÌNH TRẠNG THIẾU ĐẤT Ở, NHÀ Ở, ĐẤT SẢN XUẤT, NƯỚC SINH HOẠT</t>
  </si>
  <si>
    <t>Nội dung 4: Hỗ trợ nước sinh hoạt</t>
  </si>
  <si>
    <t>Dự án Cấp nước sinh hoạt tập trung vùng đồng bào dân tộc thiểu số và miền núi tỉnh Bắc Kạn năm 2022</t>
  </si>
  <si>
    <t>Tại các xã trên địa bàn tỉnh</t>
  </si>
  <si>
    <t xml:space="preserve">Bao gồm các công trình cấp nước sinh hoạt cho các thôn thuộc các xã trên địa bàn tỉnh </t>
  </si>
  <si>
    <t>2022-2023</t>
  </si>
  <si>
    <t>Ban QLDA ĐTXD CT NN&amp;PTNT</t>
  </si>
  <si>
    <t>Dự án Cấp nước sinh hoạt tập trung vùng đồng bào dân tộc thiểu số và miền núi tỉnh Bắc Kạn năm 2023 - 2025</t>
  </si>
  <si>
    <t>2023-2025</t>
  </si>
  <si>
    <t>DỰ ÁN 2 - QUY HOẠCH, SẮP XẾP, BỐ TRÍ, ỔN ĐỊNH DÂN CƯ Ở NHỮNG NƠI CẦN THIẾT</t>
  </si>
  <si>
    <t>Dự án bố trí ổn định tập trung dân cư vùng thiên tai tại khu Pù Pèn, thôn Nà Chảo-Nà Tậu, xã Công Bằng, huyện Pác Nặm, tỉnh Bắc Kạn</t>
  </si>
  <si>
    <t xml:space="preserve"> xã Công Bằng, huyện Pác Nặm</t>
  </si>
  <si>
    <t>Bao gồm các công trình hạ tầng như: san nền, cấp nước, cấp điện, đường giao thông và các công trình phụ trợ khác...</t>
  </si>
  <si>
    <t>Dự án bố trí ổn định tập trung dân cư vùng đặc biệt khó khăn thôn Đông Đăm, xã Hà Hiệu, huyện Ba Bể, tỉnh Bắc Kạn</t>
  </si>
  <si>
    <t>xã Hà Hiệu, huyện Ba Bể</t>
  </si>
  <si>
    <t xml:space="preserve"> Dự án: Bố trí, sắp xếp ổn định dân cư vùng đặc biệt khó khăn thôn Nà Hỏi, xã Phúc Lộc, huyện Ba Bể, tỉnh Bắc Kạn.</t>
  </si>
  <si>
    <t>xã Phúc Lộc, huyện Ba Bể</t>
  </si>
  <si>
    <t>Dự án Bố trí, ổn định dân cư tại chỗ các thôn thuộc xã Thượng Quan, huyện Ngân Sơn, tỉnh Bắc Kạn.</t>
  </si>
  <si>
    <t>xã Thượng Quan, huyện Ngân Sơn</t>
  </si>
  <si>
    <t>Đầu tư các công trình đường giao thông, cấp nước, kênh thủy lợi, nhà văn hóa... phục vụ ổn định dân cư tại chỗ</t>
  </si>
  <si>
    <t xml:space="preserve">Dự án Bố trí ổn định dân cư tập trung dân cư thôn Khuổi Nộc, xã Lương Thượng, huyện Na Rì </t>
  </si>
  <si>
    <t xml:space="preserve"> xã Lương Thượng, huyện Na Rì </t>
  </si>
  <si>
    <t>Dự án bố trí ổn định dân cư tập trung dân cư thôn Nà Bản - Cốc Slông, xã Xuân Lạc, huyện Chợ Đồn</t>
  </si>
  <si>
    <t>xã Xuân Lạc, huyện Chợ Đồn</t>
  </si>
  <si>
    <t>DỰ ÁN 3 - PHÁT TRIỂN SẢN XUẤT NÔNG, LÂM NGHIỆP BỀN VỮNG, PHÁT HUY TIỀM NĂNG THẾ MẠNH CÁC VÙNG MIỀN ĐỂ SẢN XUẤT HÀNG HÓA THEO CHUỖI GIÁ TRỊ</t>
  </si>
  <si>
    <t>Dự án phát triển dược liệu trên địa bàn tỉnh Bắc Kạn</t>
  </si>
  <si>
    <t>Bao gồm các công trình hạ tầng như: Đường giao thông nội vùng; Đầu tư vùng nuôi trồng ứng dụng công nghệ cao; Khu trồng dược liệu chuyên canh đạt tiêu chuẩn GACP-WHO; mua máy móc thiết bị cho khu nuôi trồng dược liệu ứng dụng công nghệ cao; Hạ tầng vùng nguyên liệu nội rào: đường giao thông, hệ thống cấp nước, hệ thống xử lý môi trường; Xây dựng cơ sở chế biến; Xây dựng cơ sở bảo quản dược liệu...</t>
  </si>
  <si>
    <t>Sở Nông nghiệp và Phát triển nông thôn</t>
  </si>
  <si>
    <t xml:space="preserve"> DỰ ÁN 4 - ĐẦU TƯ CƠ SỞ HẠ TẦNG THIẾT YẾU, PHỤC VỤ SẢN XUẤT, ĐỜI SỐNG VÙNG ĐỒNG BÀO DTTS&amp;MN </t>
  </si>
  <si>
    <t>IV.1</t>
  </si>
  <si>
    <t>Nội dung số 02: Đầu tư xây dựng, cải tạo nâng cấp mạng lưới chợ vùng đồng bào dân tộc thiểu số và miền núi</t>
  </si>
  <si>
    <t xml:space="preserve">Đầu tư xây dựng cải tạo, nâng cấp mạng lưới chợ vùng đồng bào dân tộc thiểu số và miền núi năm 2022, chương trình MTQG phát triển KT – XH vùng đồng bào DTTS&amp;MN năm 2022 </t>
  </si>
  <si>
    <t xml:space="preserve">Đầu tư xây dựng cải tạo, nâng cấp mạng lưới chợ vùng đồng bào dân tộc thiểu số và miền núi chương trình MTQG phát triển KT – XH vùng đồng bào DTTS&amp;MN năm 2023-2025 </t>
  </si>
  <si>
    <t>Đầu tư xây dựng cải tạo, nâng cấp mạng lưới chợ vùng đồng bào dân tộc thiểu số và miền núi chương trình MTQG phát triển KT – XH vùng đồng bào DTTS&amp;MN năm 2024-2025</t>
  </si>
  <si>
    <t>IV.2</t>
  </si>
  <si>
    <t>Nội dung 3: Đầu tư xây dựng, nâng cấp, cải tạo, sửa chữa, bảo dưỡng, mua sắm trang thiết bị cho các trạm y tế xã bảo đảm đạt chuẩn</t>
  </si>
  <si>
    <t>Dự án đầu tư xây dựng, nâng cấp, cải tạo, sửa chữa, bảo dưỡng, mua sắm trang thiết bị cho các trạm y tế xã đảm bảo đạt chuẩn</t>
  </si>
  <si>
    <t>IV.3</t>
  </si>
  <si>
    <t>Nội dung 4: Đầu tư cứng hóa đường đến trung tâm xã chưa được cứng hóa; ưu tiên đầu tư đối với các xã chưa có đường từ trung tâm huyện đến trung tâm xã, đường liên xã (từ trung tâm xã đến trung tâm xã)</t>
  </si>
  <si>
    <t xml:space="preserve"> Chợ Mới</t>
  </si>
  <si>
    <t>Đường Nông Hạ - Khe Thỉ: ĐH.75</t>
  </si>
  <si>
    <t>Xã Nông Hạ</t>
  </si>
  <si>
    <t>Dự kiến chiều dài 8km</t>
  </si>
  <si>
    <t>2022-2024</t>
  </si>
  <si>
    <t>Ban QLDA ĐTXD CTGT</t>
  </si>
  <si>
    <t>Đường Yên Cư - Cao Kỳ</t>
  </si>
  <si>
    <t>Xã Yên Cư, xã Cao Kỳ</t>
  </si>
  <si>
    <t>Dự kiến chiều dài 14,4 km</t>
  </si>
  <si>
    <t>Bạch Thông</t>
  </si>
  <si>
    <t>Đường liên xã Cao Sơn - Mỹ Thanh, huyện Bạch Thông</t>
  </si>
  <si>
    <t>Thôn Thôm Phụ, xã Cao Sơn - thôn Bản Châng, xã Mỹ Thanh</t>
  </si>
  <si>
    <t>Dự kiến chiều dài 13,5 km</t>
  </si>
  <si>
    <t>Đường liên xã Quang thuận huyện Bạch Thông - xã Mai Lạp Chợ Mới</t>
  </si>
  <si>
    <t xml:space="preserve">xã Quang Thuận - xã Mai Lạp </t>
  </si>
  <si>
    <t>Dự kiến chiều dài 8,4 km</t>
  </si>
  <si>
    <t>Chợ Đồn</t>
  </si>
  <si>
    <t>Đường Bình Trung-Trung Minh (Tuyên Quang)</t>
  </si>
  <si>
    <t>Xã Bình Trung và giáp ranh xã Trung Minh (Tuyên Quang)</t>
  </si>
  <si>
    <t>Dự kiến chiều dài 6 km</t>
  </si>
  <si>
    <t>Na Rỳ</t>
  </si>
  <si>
    <t>Cải tạo, nâng cấp đường Quang Phong - Đổng Xá</t>
  </si>
  <si>
    <t>xã Quang Phong, xã Đổng Xá</t>
  </si>
  <si>
    <t>Dự kiến chiều dài 14 km</t>
  </si>
  <si>
    <t>Ngân Sơn</t>
  </si>
  <si>
    <t xml:space="preserve">Đường từ trung tâm xã Cốc Đán, huyện Ngân Sơn đến xã Thành Công, huyện Nguyên Bình  </t>
  </si>
  <si>
    <t xml:space="preserve">Xã Cốc Đán  </t>
  </si>
  <si>
    <t>Dự kiến chiều dài 4,5 km</t>
  </si>
  <si>
    <t>Ba Bể</t>
  </si>
  <si>
    <t>Đường liên thôn Phiêng Giản (xã Phúc Lộc) - Lủng Pjầu (Yến Dương)</t>
  </si>
  <si>
    <t>Xã Phúc Lộc</t>
  </si>
  <si>
    <t>Dự kiến chiều dài 3,1km</t>
  </si>
  <si>
    <t>Pác Nặm</t>
  </si>
  <si>
    <t>Đường Nghiên Loan - Cổ Linh</t>
  </si>
  <si>
    <t>Xã Cổ Linh - Nghiên Loan</t>
  </si>
  <si>
    <t>Dự kiến chiều dài 4,5km</t>
  </si>
  <si>
    <t>DỰ ÁN 5: PHÁT TRIỂN GIÁO DỤC ĐÀO TẠO NÂNG CAO CHẤT LƯỢNG NGUỒN NHÂN LỰC</t>
  </si>
  <si>
    <t>Đổi mới hoạt động, củng cố phát triển các trường phổ thông dân tộc nội trú, trường phổ thông dân tộc bán trú, trường phổ thông có học sinh ở bán trú và xóa mù chữ cho người dân vùng đồng bào dân tộc thiểu số, Chương trình MTQG phát triển KT – XH vùng đồng bào DTTS&amp;MN năm 2022</t>
  </si>
  <si>
    <t>Đổi mới hoạt động, củng cố phát triển các trường phổ thông dân tộc nội trú, trường phổ thông dân tộc bán trú, trường phổ thông có học sinh ở bán trú và xóa mù chữ cho người dân vùng đồng bào dân tộc thiểu số, Chương trình MTQG phát triển KT – XH vùng đồng bào DTTS&amp;MN năm 2023-2025</t>
  </si>
  <si>
    <t>DỰ ÁN 6: BẢO TỒN, PHÁT HUY GIÁ TRỊ VĂN HÓA TRUYỀN THỐNG TỐT ĐẸP CỦA CÁC DÂN TỘC THIỂU SỐ GẮN VỚI PHÁT TRIỂN DU LỊCH</t>
  </si>
  <si>
    <t>Hỗ trợ đầu tư xây dựng điểm đến du lịch tiêu biểu vùng đồng bào dân tộc thiểu số và miền núi</t>
  </si>
  <si>
    <t>Hỗ trợ đầu tư bảo tồn làng, bản, văn hóa truyền thống tiêu biểu của các dân tộc thiểu số</t>
  </si>
  <si>
    <t>Hỗ trợ tu bổ, tôn tạo di tích quốc gia đặc biệt, di tích quốc gia có giá trị tiêu biểu của các dân tộc thiểu số:</t>
  </si>
  <si>
    <t>Hỗ trợ đầu tư xây dựng thiết chế văn hóa, thể thao tại các thôn đồng bào dân tộc thiểu số và miền núi</t>
  </si>
  <si>
    <t>Phân bổ chi tiết sau</t>
  </si>
  <si>
    <t>DỰ ÁN 7: CHĂM SÓC SỨC KHỎE NHÂN DÂN, NÂNG CAO THỂ TRẠNG, TẦM VÓC NGƯỜI DÂN TỘC THIỂU SỐ; PHÒNG CHỐNG SUY DINH DƯỠNG TRẺ EM</t>
  </si>
  <si>
    <t>Công trình: Trung tâm y tế huyện Ngân Sơn</t>
  </si>
  <si>
    <t>DỰ ÁN 10: TRUYỀN THÔNG, TUYÊN TRUYỀN, VẬN ĐỘNG TRONG VÙNG ĐỒNG BÀO DÂN TỘC THIỂU SỐ, KIỂM TRA GIÁM SÁT ĐÁNH GIÁ VIỆC TỔ CHỨC THỰC HIỆN CHƯƠNG TRÌNH</t>
  </si>
  <si>
    <t>Dự án ứng dụng công nghệ thông tin hỗ trợ phát triển kinh tế xã hội và đảm bảo an ninh trật tự vùng đồng bào dân tộc thiểu số và miền núi tỉnh Bắc Kạn</t>
  </si>
  <si>
    <t>Ban Dân tộc tỉnh</t>
  </si>
  <si>
    <t>Nội dung 1, 2, 3: Hỗ trợ đất ở, nhà ở, đất sản xuất - phân cấp huyện điều hành</t>
  </si>
  <si>
    <t>Nội dung số 01: Đầu tư cơ sở hạ tầng thiết yếu cùng đồng bào dân tộc thiểu số và miền núi; ưu tiên đối với các xã ĐBKK, thôn ĐBKK</t>
  </si>
  <si>
    <t>Biểu số 06</t>
  </si>
  <si>
    <t>DỰ KIẾN KẾ HOẠCH VỐN ĐẦU TƯ PHÁT TRIỂN THỰC HIỆN CHƯƠNG TRÌNH MỤC TIÊU QUỐC GIA PHÁT TRIỂN KINH TẾ XÃ HỘI VÙNG ĐỒNG BÀO DÂN TỘC THIỂU SỐ VÀ MIỀN NÚI NĂM 2023</t>
  </si>
  <si>
    <t>Dự kiến Kế hoạch năm 2023</t>
  </si>
  <si>
    <t>ĐỊA PHƯƠNG</t>
  </si>
  <si>
    <t xml:space="preserve">Tổng </t>
  </si>
  <si>
    <t>NSTW</t>
  </si>
  <si>
    <t>Năm 2021 
(Chuyển sang thực hiện năm 2022)</t>
  </si>
  <si>
    <t>Năm 2022</t>
  </si>
  <si>
    <t>Đối ứng năm 2021 (chuyển sang thực hiện năm 2022)</t>
  </si>
  <si>
    <t>Đối ứng năm 2022</t>
  </si>
  <si>
    <t>HUYỆN PÁC NẶM</t>
  </si>
  <si>
    <t>HUYỆN NGÂN SƠN</t>
  </si>
  <si>
    <t>HUYỆN CHỢ ĐỒN</t>
  </si>
  <si>
    <t>HUYỆN CHỢ MỚI</t>
  </si>
  <si>
    <t>HUYỆN BA BỂ</t>
  </si>
  <si>
    <t>HUYỆN BẠCH THÔNG</t>
  </si>
  <si>
    <t>HUYỆN NA RÌ</t>
  </si>
  <si>
    <t>THÀNH PHỐ BẮC KẠN</t>
  </si>
  <si>
    <t>Biểu số 07</t>
  </si>
  <si>
    <t>DỰ KIẾN KẾ HOẠCH VỐN ĐẦU TƯ PHÁT TRIỂN THỰC HIỆN CHƯƠNG TRÌNH MỤC TIÊU QUỐC GIA XÂY DỰNG NÔNG THÔN MỚI NĂM 2023</t>
  </si>
  <si>
    <t>Dự kiến KH 2023</t>
  </si>
  <si>
    <t>Kế hoạch đầu tư vốn CĐNS năm 2023</t>
  </si>
  <si>
    <t>Điều chỉnh lần 1 - QĐ 735</t>
  </si>
  <si>
    <t>Điều chỉnh lần 2 - QĐ 735</t>
  </si>
  <si>
    <t>Điều chỉnh lần 3</t>
  </si>
  <si>
    <t>Giao đầu năm - QĐ 2388</t>
  </si>
  <si>
    <t>Giao đầu giai đoạn - NQ 76 năm 2021, QĐ 1777 năm 2021</t>
  </si>
  <si>
    <t>Điều chỉnh lần 2 - NQ 08 năm 2022, QĐ 734</t>
  </si>
  <si>
    <t>Điều chỉnh lần 1 - NQ 01 năm 2022, QĐ 378</t>
  </si>
  <si>
    <t xml:space="preserve">Điều chỉnh lần 3 - NQ 19 năm 2022, QĐ </t>
  </si>
  <si>
    <t xml:space="preserve">Kế hoạch năm 2022 </t>
  </si>
  <si>
    <t>Kế hoạch giai đoạn 2021-2025</t>
  </si>
  <si>
    <t>38/NQ-HĐND ngày 07/12/2019; 24/NQ-HĐND ngày 17/7/2020; 44/NQ-HĐND ngày 13/7/2021; 33/NQ-HĐND ngày 29/8/2022; 1854/QĐ-UBND ngày 14/10/2020; 2046/QĐ-UBND ngày 24/10/2022</t>
  </si>
  <si>
    <t>Chuẩn bị đầu tư</t>
  </si>
  <si>
    <t>KH trung hạn còn lại giai đoạn 2023-2025</t>
  </si>
  <si>
    <t>NSĐP</t>
  </si>
  <si>
    <t>Điều chỉnh lần 4 - NQ 42 năm 2022</t>
  </si>
  <si>
    <t>Đang đề nghị điều chỉnh lần 5</t>
  </si>
  <si>
    <t>Lũy kế vốn đã bố trí đến năm 2022 nguồn vốn CĐNS tỉnh</t>
  </si>
  <si>
    <t>Lũy kế vốn NSTW đã bố trí đến hết năm 2022</t>
  </si>
  <si>
    <t xml:space="preserve">Kế hoạch vốn giai đoạn 2021-2025 </t>
  </si>
  <si>
    <t>2</t>
  </si>
  <si>
    <t>6</t>
  </si>
  <si>
    <t>3</t>
  </si>
  <si>
    <t>Vốn nước ngoài</t>
  </si>
  <si>
    <t>Biểu 4</t>
  </si>
  <si>
    <t>Mã dự án</t>
  </si>
  <si>
    <t>Nhóm dự án</t>
  </si>
  <si>
    <t>Ngày ký kết hiệp định</t>
  </si>
  <si>
    <t>KH đầu tư trung hạn vốn NSTW giai đoạn 2021-2025</t>
  </si>
  <si>
    <t>KH vốn NSTW năm 2023</t>
  </si>
  <si>
    <t>Kế hoạch vốn NSTW</t>
  </si>
  <si>
    <t>Ước giải ngân kế hoạch vốn NSTW năm 2022 từ 1/1/2022 đến 30/9/2022</t>
  </si>
  <si>
    <t>Ước giải ngân kế hoạch vốn NSTW năm 2022 từ 1/1/2022 đến 31/12/2022</t>
  </si>
  <si>
    <t>Giai đoạn 2021-2025</t>
  </si>
  <si>
    <t>Trong đó: Đã giao các năm 2021, 2022</t>
  </si>
  <si>
    <t xml:space="preserve">Vốn đối ứng </t>
  </si>
  <si>
    <t xml:space="preserve">Vốn nước ngoài </t>
  </si>
  <si>
    <t>Thu hồi các khoản vốn ứng trước</t>
  </si>
  <si>
    <t>4</t>
  </si>
  <si>
    <t>5</t>
  </si>
  <si>
    <t>7</t>
  </si>
  <si>
    <t>16</t>
  </si>
  <si>
    <t>17</t>
  </si>
  <si>
    <t>18</t>
  </si>
  <si>
    <t>19</t>
  </si>
  <si>
    <t>20</t>
  </si>
  <si>
    <t>21</t>
  </si>
  <si>
    <t>22</t>
  </si>
  <si>
    <t>23</t>
  </si>
  <si>
    <t>24</t>
  </si>
  <si>
    <t>VỐN NƯỚC NGOÀI GIẢI NGÂN KHÔNG THEO CƠ CHẾ TÀI CHÍNH TRONG NƯỚC</t>
  </si>
  <si>
    <t>Các dự án dự kiến hoàn thành năm 2023</t>
  </si>
  <si>
    <t>12/04/2018</t>
  </si>
  <si>
    <t>Xây dựng cầu dân sinh và quản lý tài sản đường địa phương (LRAMP) - Hợp phần đường</t>
  </si>
  <si>
    <t>04/07/2016</t>
  </si>
  <si>
    <t>Dự án dự kiến  hoàn thành sau năm 2023</t>
  </si>
  <si>
    <t>24/03/2017</t>
  </si>
  <si>
    <t>1438, 07/9/2016;762, 02/6/2017; 1896, ngày 21/10/2020, 1327, ngày 18/7/2022</t>
  </si>
  <si>
    <t>18/02/2020</t>
  </si>
  <si>
    <t xml:space="preserve"> KẾ HOẠCH ĐẦU TƯ VỐN NGÂN SÁCH TRUNG ƯƠNG (VỐN TRONG NƯỚC) GIAI ĐOẠN 2021-2025 VÀ DỰ KIẾN NĂM 2023</t>
  </si>
  <si>
    <t xml:space="preserve"> KẾ HOẠCH VỐN NGÂN SÁCH TRUNG ƯƠNG (VỐN NƯỚC NGOÀI) GIAI ĐOẠN 2021-2025 VÀ DỰ KIẾN NĂM 2023</t>
  </si>
  <si>
    <t>Trong đó giai đoạn 2021-2022</t>
  </si>
  <si>
    <t>Ban QLDA ĐTXD CTGT tỉnh</t>
  </si>
  <si>
    <t>Trong đó: Giai đoạn 2021-2022</t>
  </si>
  <si>
    <t>Giải ngân kế hoạch vốn giai đoạn 2021-2022 đến ngày 28/11/2022</t>
  </si>
  <si>
    <t xml:space="preserve"> KẾ HOẠCH VỐN NGÂN SÁCH TRUNG ƯƠNG (VỐN NƯỚC NGOÀI) GIAI ĐOẠN 2021-2025 VÀ NĂM 2023</t>
  </si>
  <si>
    <t>Giải ngân các năm 2021, 2022 (tính đến 28/11/2022)</t>
  </si>
  <si>
    <t>Giải ngân kế hoạch năm 2022 đến ngày 31/01/2023</t>
  </si>
  <si>
    <t>Số KH vốn không giải ngân hết</t>
  </si>
  <si>
    <t>Số KH vốn đề nghị kéo dài</t>
  </si>
  <si>
    <t>Dự án chuyển tiếp giai đoạn 2021-2025</t>
  </si>
  <si>
    <t>Khởi công mới giai đoạn 2021-2025</t>
  </si>
  <si>
    <t xml:space="preserve"> KẾ HOẠCH ĐẦU TƯ VỐN NGÂN SÁCH ĐỊA PHƯƠNG NĂM 2022 KÉO DÀI THỜI GIAN THỰC HIỆN VÀ GIẢI NGÂN SANG NĂM 2023</t>
  </si>
  <si>
    <t>(Kèm theo Nghị quyết số         /NQ-HĐND ngày    /03/2023 của HĐND tỉnh)</t>
  </si>
  <si>
    <t>Số kế hoạch vốn năm 2022 kéo dài sang năm 2023</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</si>
</sst>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_-* #,##0.00\ _V_N_D_-;\-* #,##0.00\ _V_N_D_-;_-* &quot;-&quot;??\ _V_N_D_-;_-@_-"/>
    <numFmt numFmtId="187" formatCode="#,##0;[Red]#,##0"/>
    <numFmt numFmtId="188" formatCode="#,##0.0"/>
    <numFmt numFmtId="189" formatCode="_(* #,##0_);_(* \(#,##0\);_(* &quot;-&quot;??_);_(@_)"/>
    <numFmt numFmtId="190" formatCode="0.0"/>
    <numFmt numFmtId="191" formatCode="[$-409]h:mm:ss\ AM/PM"/>
    <numFmt numFmtId="192" formatCode="[$-409]dddd\,\ mmmm\ dd\,\ yyyy"/>
    <numFmt numFmtId="193" formatCode="0.0%"/>
    <numFmt numFmtId="194" formatCode="#,##0.000"/>
    <numFmt numFmtId="195" formatCode="#,##0.0;[Red]#,##0.0"/>
    <numFmt numFmtId="196" formatCode="[$-1010000]d/m/yyyy"/>
    <numFmt numFmtId="197" formatCode="0_);\(0\)"/>
    <numFmt numFmtId="198" formatCode="###0"/>
    <numFmt numFmtId="199" formatCode="_(* #,##0.0_);_(* \(#,##0.0\);_(* &quot;-&quot;??_);_(@_)"/>
    <numFmt numFmtId="200" formatCode="_(* #,##0.000_);_(* \(#,##0.000\);_(* &quot;-&quot;??_);_(@_)"/>
    <numFmt numFmtId="201" formatCode="_(* #,##0.000_);_(* \(#,##0.000\);_(* &quot;-&quot;???_);_(@_)"/>
    <numFmt numFmtId="202" formatCode="0.000"/>
    <numFmt numFmtId="203" formatCode="_(* #,##0.0_);_(* \(#,##0.0\);_(* &quot;-&quot;?_);_(@_)"/>
    <numFmt numFmtId="204" formatCode="&quot;Yes&quot;;&quot;Yes&quot;;&quot;No&quot;"/>
    <numFmt numFmtId="205" formatCode="&quot;True&quot;;&quot;True&quot;;&quot;False&quot;"/>
    <numFmt numFmtId="206" formatCode="&quot;On&quot;;&quot;On&quot;;&quot;Off&quot;"/>
    <numFmt numFmtId="207" formatCode="[$€-2]\ #,##0.00_);[Red]\([$€-2]\ #,##0.00\)"/>
    <numFmt numFmtId="208" formatCode="_(* #,##0.0000_);_(* \(#,##0.0000\);_(* &quot;-&quot;??_);_(@_)"/>
    <numFmt numFmtId="209" formatCode="_(* #,##0.00000_);_(* \(#,##0.00000\);_(* &quot;-&quot;??_);_(@_)"/>
    <numFmt numFmtId="210" formatCode="_(* #,##0.000000_);_(* \(#,##0.000000\);_(* &quot;-&quot;??_);_(@_)"/>
    <numFmt numFmtId="211" formatCode="_(* #,##0.0000000_);_(* \(#,##0.0000000\);_(* &quot;-&quot;??_);_(@_)"/>
  </numFmts>
  <fonts count="81">
    <font>
      <sz val="11"/>
      <color theme="1"/>
      <name val="Calibri"/>
      <family val="2"/>
    </font>
    <font>
      <sz val="11"/>
      <color indexed="8"/>
      <name val="Calibri"/>
      <family val="2"/>
    </font>
    <font>
      <sz val="10"/>
      <name val="Arial"/>
      <family val="2"/>
    </font>
    <font>
      <b/>
      <sz val="14"/>
      <name val="Times New Roman"/>
      <family val="1"/>
    </font>
    <font>
      <sz val="8"/>
      <name val="Calibri"/>
      <family val="2"/>
    </font>
    <font>
      <sz val="12"/>
      <name val=".VnTime"/>
      <family val="2"/>
    </font>
    <font>
      <sz val="11"/>
      <color indexed="8"/>
      <name val="Helvetica Neue"/>
      <family val="0"/>
    </font>
    <font>
      <sz val="12"/>
      <name val="Times New Roman"/>
      <family val="1"/>
    </font>
    <font>
      <b/>
      <sz val="12"/>
      <name val="Times New Roman"/>
      <family val="1"/>
    </font>
    <font>
      <i/>
      <sz val="12"/>
      <name val="Times New Roman"/>
      <family val="1"/>
    </font>
    <font>
      <b/>
      <sz val="10"/>
      <name val="Times New Roman"/>
      <family val="1"/>
    </font>
    <font>
      <b/>
      <i/>
      <sz val="12"/>
      <name val="Times New Roman"/>
      <family val="1"/>
    </font>
    <font>
      <i/>
      <sz val="13"/>
      <name val="Times New Roman"/>
      <family val="1"/>
    </font>
    <font>
      <i/>
      <sz val="14"/>
      <name val="Times New Roman"/>
      <family val="1"/>
    </font>
    <font>
      <sz val="9"/>
      <name val="Tahoma"/>
      <family val="2"/>
    </font>
    <font>
      <b/>
      <sz val="9"/>
      <name val="Tahoma"/>
      <family val="2"/>
    </font>
    <font>
      <sz val="14"/>
      <name val="Times New Roman"/>
      <family val="1"/>
    </font>
    <font>
      <b/>
      <sz val="11"/>
      <name val="Times New Roman"/>
      <family val="1"/>
    </font>
    <font>
      <sz val="11"/>
      <name val="Times New Roman"/>
      <family val="1"/>
    </font>
    <font>
      <i/>
      <sz val="11"/>
      <name val="Times New Roman"/>
      <family val="1"/>
    </font>
    <font>
      <b/>
      <i/>
      <sz val="14"/>
      <name val="Times New Roman"/>
      <family val="1"/>
    </font>
    <font>
      <b/>
      <i/>
      <sz val="11"/>
      <name val="Times New Roman"/>
      <family val="1"/>
    </font>
    <font>
      <sz val="11"/>
      <color indexed="8"/>
      <name val="Times New Roman"/>
      <family val="2"/>
    </font>
    <font>
      <b/>
      <sz val="16"/>
      <name val="Times New Roman"/>
      <family val="1"/>
    </font>
    <font>
      <i/>
      <sz val="16"/>
      <name val="Times New Roman"/>
      <family val="1"/>
    </font>
    <font>
      <sz val="14"/>
      <color indexed="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4"/>
      <color indexed="8"/>
      <name val="Times New Roman"/>
      <family val="1"/>
    </font>
    <font>
      <sz val="14"/>
      <color indexed="8"/>
      <name val="Times New Roman"/>
      <family val="1"/>
    </font>
    <font>
      <b/>
      <sz val="12"/>
      <color indexed="8"/>
      <name val="Times New Roman"/>
      <family val="1"/>
    </font>
    <font>
      <i/>
      <sz val="12"/>
      <color indexed="8"/>
      <name val="Times New Roman"/>
      <family val="1"/>
    </font>
    <font>
      <b/>
      <i/>
      <sz val="14"/>
      <color indexed="8"/>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1"/>
      <color rgb="FF000000"/>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i/>
      <sz val="12"/>
      <color theme="1"/>
      <name val="Times New Roman"/>
      <family val="1"/>
    </font>
    <font>
      <b/>
      <sz val="14"/>
      <color theme="1"/>
      <name val="Times New Roman"/>
      <family val="1"/>
    </font>
    <font>
      <sz val="14"/>
      <color theme="1"/>
      <name val="Times New Roman"/>
      <family val="1"/>
    </font>
    <font>
      <b/>
      <sz val="12"/>
      <color theme="1"/>
      <name val="Times New Roman"/>
      <family val="1"/>
    </font>
    <font>
      <sz val="12"/>
      <color rgb="FF000000"/>
      <name val="Times New Roman"/>
      <family val="1"/>
    </font>
    <font>
      <i/>
      <sz val="12"/>
      <color theme="1"/>
      <name val="Times New Roman"/>
      <family val="1"/>
    </font>
    <font>
      <b/>
      <i/>
      <sz val="14"/>
      <color theme="1"/>
      <name val="Times New Roman"/>
      <family val="1"/>
    </font>
    <font>
      <b/>
      <sz val="8"/>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bottom style="thin"/>
    </border>
    <border>
      <left>
        <color indexed="63"/>
      </left>
      <right style="thin"/>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style="thin"/>
      <top style="hair"/>
      <bottom style="hair"/>
    </border>
    <border>
      <left>
        <color indexed="63"/>
      </left>
      <right style="thin"/>
      <top style="hair"/>
      <bottom style="hair"/>
    </border>
    <border>
      <left style="thin"/>
      <right style="thin"/>
      <top style="hair"/>
      <bottom style="thin"/>
    </border>
    <border>
      <left style="thin"/>
      <right>
        <color indexed="63"/>
      </right>
      <top style="thin"/>
      <bottom>
        <color indexed="63"/>
      </bottom>
    </border>
    <border>
      <left style="thin"/>
      <right>
        <color indexed="63"/>
      </right>
      <top>
        <color indexed="63"/>
      </top>
      <bottom style="thin"/>
    </border>
    <border>
      <left style="thin"/>
      <right style="thin"/>
      <top/>
      <bottom/>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color indexed="63"/>
      </right>
      <top style="hair"/>
      <bottom style="hair"/>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25" borderId="0" applyNumberFormat="0" applyBorder="0" applyAlignment="0" applyProtection="0"/>
    <xf numFmtId="0" fontId="0" fillId="0" borderId="0">
      <alignment/>
      <protection/>
    </xf>
    <xf numFmtId="0" fontId="55" fillId="26" borderId="1" applyNumberFormat="0" applyAlignment="0" applyProtection="0"/>
    <xf numFmtId="0" fontId="56" fillId="27" borderId="2" applyNumberFormat="0" applyAlignment="0" applyProtection="0"/>
    <xf numFmtId="0" fontId="0" fillId="0" borderId="0">
      <alignment/>
      <protection/>
    </xf>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86" fontId="2" fillId="0" borderId="0" applyFont="0" applyFill="0" applyBorder="0" applyAlignment="0" applyProtection="0"/>
    <xf numFmtId="171" fontId="22" fillId="0" borderId="0" applyFont="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1" fontId="5"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79"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29" borderId="1" applyNumberFormat="0" applyAlignment="0" applyProtection="0"/>
    <xf numFmtId="0" fontId="65" fillId="0" borderId="6" applyNumberFormat="0" applyFill="0" applyAlignment="0" applyProtection="0"/>
    <xf numFmtId="0" fontId="66" fillId="30" borderId="0" applyNumberFormat="0" applyBorder="0" applyAlignment="0" applyProtection="0"/>
    <xf numFmtId="0" fontId="0" fillId="0" borderId="0">
      <alignment/>
      <protection/>
    </xf>
    <xf numFmtId="0" fontId="2" fillId="0" borderId="0">
      <alignment/>
      <protection/>
    </xf>
    <xf numFmtId="0" fontId="67" fillId="0" borderId="0">
      <alignment/>
      <protection/>
    </xf>
    <xf numFmtId="0" fontId="0" fillId="0" borderId="0">
      <alignment/>
      <protection/>
    </xf>
    <xf numFmtId="0" fontId="2" fillId="0" borderId="0">
      <alignment/>
      <protection/>
    </xf>
    <xf numFmtId="0" fontId="2" fillId="0" borderId="0">
      <alignment/>
      <protection/>
    </xf>
    <xf numFmtId="0" fontId="6" fillId="0" borderId="0" applyNumberFormat="0" applyFill="0" applyBorder="0" applyProtection="0">
      <alignment vertical="top"/>
    </xf>
    <xf numFmtId="0" fontId="5" fillId="0" borderId="0">
      <alignment/>
      <protection/>
    </xf>
    <xf numFmtId="0" fontId="1" fillId="0" borderId="0">
      <alignment/>
      <protection/>
    </xf>
    <xf numFmtId="0" fontId="2" fillId="0" borderId="0">
      <alignment/>
      <protection/>
    </xf>
    <xf numFmtId="0" fontId="2" fillId="0" borderId="0">
      <alignment/>
      <protection/>
    </xf>
    <xf numFmtId="0" fontId="1" fillId="31" borderId="7" applyNumberFormat="0" applyFont="0" applyAlignment="0" applyProtection="0"/>
    <xf numFmtId="0" fontId="68" fillId="26" borderId="8" applyNumberFormat="0" applyAlignment="0" applyProtection="0"/>
    <xf numFmtId="9" fontId="1" fillId="0" borderId="0" applyFont="0" applyFill="0" applyBorder="0" applyAlignment="0" applyProtection="0"/>
    <xf numFmtId="9" fontId="2"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513">
    <xf numFmtId="0" fontId="0" fillId="0" borderId="0" xfId="0" applyFont="1" applyAlignment="1">
      <alignment/>
    </xf>
    <xf numFmtId="1" fontId="7" fillId="32" borderId="0" xfId="75" applyNumberFormat="1" applyFont="1" applyFill="1" applyAlignment="1">
      <alignment vertical="center"/>
      <protection/>
    </xf>
    <xf numFmtId="1" fontId="9" fillId="32" borderId="0" xfId="75" applyNumberFormat="1" applyFont="1" applyFill="1" applyAlignment="1">
      <alignment vertical="center"/>
      <protection/>
    </xf>
    <xf numFmtId="3" fontId="7" fillId="32" borderId="10" xfId="75" applyNumberFormat="1" applyFont="1" applyFill="1" applyBorder="1" applyAlignment="1" quotePrefix="1">
      <alignment horizontal="center" vertical="center" wrapText="1"/>
      <protection/>
    </xf>
    <xf numFmtId="3" fontId="7" fillId="32" borderId="0" xfId="75" applyNumberFormat="1" applyFont="1" applyFill="1" applyBorder="1" applyAlignment="1">
      <alignment vertical="center" wrapText="1"/>
      <protection/>
    </xf>
    <xf numFmtId="3" fontId="10" fillId="32" borderId="0" xfId="75" applyNumberFormat="1" applyFont="1" applyFill="1" applyBorder="1" applyAlignment="1">
      <alignment vertical="center" wrapText="1"/>
      <protection/>
    </xf>
    <xf numFmtId="188" fontId="7" fillId="32" borderId="0" xfId="75" applyNumberFormat="1" applyFont="1" applyFill="1" applyAlignment="1">
      <alignment vertical="center"/>
      <protection/>
    </xf>
    <xf numFmtId="1" fontId="11" fillId="32" borderId="0" xfId="75" applyNumberFormat="1" applyFont="1" applyFill="1" applyAlignment="1">
      <alignment vertical="center"/>
      <protection/>
    </xf>
    <xf numFmtId="188" fontId="11" fillId="32" borderId="0" xfId="75" applyNumberFormat="1" applyFont="1" applyFill="1" applyAlignment="1">
      <alignment vertical="center"/>
      <protection/>
    </xf>
    <xf numFmtId="1" fontId="72" fillId="32" borderId="0" xfId="75" applyNumberFormat="1" applyFont="1" applyFill="1" applyAlignment="1">
      <alignment vertical="center"/>
      <protection/>
    </xf>
    <xf numFmtId="1" fontId="73" fillId="32" borderId="0" xfId="75" applyNumberFormat="1" applyFont="1" applyFill="1" applyAlignment="1">
      <alignment vertical="center"/>
      <protection/>
    </xf>
    <xf numFmtId="0" fontId="7" fillId="0" borderId="0" xfId="0" applyFont="1" applyFill="1" applyAlignment="1">
      <alignment horizontal="right" vertical="center" wrapText="1"/>
    </xf>
    <xf numFmtId="0" fontId="7" fillId="0" borderId="0" xfId="0" applyFont="1" applyFill="1" applyAlignment="1">
      <alignment horizontal="center" vertical="center" wrapText="1"/>
    </xf>
    <xf numFmtId="3" fontId="16" fillId="0" borderId="10" xfId="75" applyNumberFormat="1" applyFont="1" applyFill="1" applyBorder="1" applyAlignment="1">
      <alignment horizontal="center" vertical="center" wrapText="1"/>
      <protection/>
    </xf>
    <xf numFmtId="3" fontId="16" fillId="0" borderId="10" xfId="0" applyNumberFormat="1" applyFont="1" applyBorder="1" applyAlignment="1">
      <alignment vertical="center" wrapText="1"/>
    </xf>
    <xf numFmtId="0" fontId="17" fillId="0" borderId="0" xfId="40" applyFont="1" applyFill="1" applyBorder="1" applyAlignment="1">
      <alignment horizontal="center" vertical="center"/>
      <protection/>
    </xf>
    <xf numFmtId="0" fontId="18" fillId="0" borderId="0" xfId="0" applyFont="1" applyFill="1" applyAlignment="1">
      <alignment/>
    </xf>
    <xf numFmtId="0" fontId="17" fillId="0" borderId="0" xfId="40" applyFont="1" applyFill="1" applyBorder="1" applyAlignment="1">
      <alignment vertical="center"/>
      <protection/>
    </xf>
    <xf numFmtId="0" fontId="19" fillId="0" borderId="0" xfId="40" applyFont="1" applyFill="1" applyBorder="1" applyAlignment="1">
      <alignment horizontal="center" vertical="center" wrapText="1"/>
      <protection/>
    </xf>
    <xf numFmtId="0" fontId="19" fillId="0" borderId="0" xfId="40" applyFont="1" applyFill="1" applyBorder="1" applyAlignment="1">
      <alignment horizontal="left" vertical="center" wrapText="1"/>
      <protection/>
    </xf>
    <xf numFmtId="0" fontId="19" fillId="0" borderId="0" xfId="40" applyFont="1" applyFill="1" applyBorder="1" applyAlignment="1">
      <alignment horizontal="right"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17" fillId="0" borderId="11" xfId="40" applyFont="1" applyFill="1" applyBorder="1" applyAlignment="1">
      <alignment horizontal="center" vertical="center" wrapText="1"/>
      <protection/>
    </xf>
    <xf numFmtId="0" fontId="16" fillId="0" borderId="0" xfId="0" applyFont="1" applyFill="1" applyAlignment="1">
      <alignment/>
    </xf>
    <xf numFmtId="0" fontId="16" fillId="0" borderId="11" xfId="40" applyFont="1" applyFill="1" applyBorder="1" applyAlignment="1">
      <alignment horizontal="center" vertical="center" wrapText="1"/>
      <protection/>
    </xf>
    <xf numFmtId="189" fontId="3" fillId="0" borderId="10" xfId="0" applyNumberFormat="1" applyFont="1" applyFill="1" applyBorder="1" applyAlignment="1">
      <alignment horizontal="center" vertical="center" wrapText="1"/>
    </xf>
    <xf numFmtId="0" fontId="3" fillId="0" borderId="10" xfId="40" applyFont="1" applyFill="1" applyBorder="1" applyAlignment="1">
      <alignment horizontal="center" vertical="center" wrapText="1"/>
      <protection/>
    </xf>
    <xf numFmtId="189" fontId="3" fillId="0" borderId="10" xfId="0" applyNumberFormat="1" applyFont="1" applyFill="1" applyBorder="1" applyAlignment="1">
      <alignment horizontal="center" vertical="center"/>
    </xf>
    <xf numFmtId="0" fontId="3" fillId="0" borderId="0" xfId="0" applyFont="1" applyFill="1" applyAlignment="1">
      <alignment horizontal="center" vertical="center"/>
    </xf>
    <xf numFmtId="0" fontId="20" fillId="0" borderId="10" xfId="0" applyFont="1" applyFill="1" applyBorder="1" applyAlignment="1">
      <alignment horizontal="center" vertical="center"/>
    </xf>
    <xf numFmtId="0" fontId="20" fillId="0" borderId="10" xfId="43" applyFont="1" applyFill="1" applyBorder="1" applyAlignment="1">
      <alignment vertical="center" wrapText="1"/>
      <protection/>
    </xf>
    <xf numFmtId="0" fontId="20" fillId="0" borderId="10" xfId="0" applyFont="1" applyFill="1" applyBorder="1" applyAlignment="1">
      <alignment horizontal="center"/>
    </xf>
    <xf numFmtId="189" fontId="20" fillId="0" borderId="10" xfId="0" applyNumberFormat="1" applyFont="1" applyFill="1" applyBorder="1" applyAlignment="1">
      <alignment horizontal="center" vertical="center"/>
    </xf>
    <xf numFmtId="189" fontId="20" fillId="0" borderId="10" xfId="0" applyNumberFormat="1" applyFont="1" applyFill="1" applyBorder="1" applyAlignment="1">
      <alignment vertical="center"/>
    </xf>
    <xf numFmtId="0" fontId="20" fillId="0" borderId="0" xfId="0" applyFont="1" applyFill="1" applyAlignment="1">
      <alignment/>
    </xf>
    <xf numFmtId="0" fontId="16" fillId="0" borderId="10" xfId="0" applyFont="1" applyFill="1" applyBorder="1" applyAlignment="1">
      <alignment horizontal="center" vertical="center"/>
    </xf>
    <xf numFmtId="0" fontId="16" fillId="0" borderId="10" xfId="0" applyFont="1" applyFill="1" applyBorder="1" applyAlignment="1">
      <alignment vertical="center" wrapText="1"/>
    </xf>
    <xf numFmtId="1" fontId="16" fillId="0" borderId="10" xfId="76" applyNumberFormat="1" applyFont="1" applyFill="1" applyBorder="1" applyAlignment="1">
      <alignment horizontal="center" vertical="center" wrapText="1"/>
      <protection/>
    </xf>
    <xf numFmtId="3" fontId="16" fillId="0" borderId="10" xfId="44" applyNumberFormat="1" applyFont="1" applyFill="1" applyBorder="1" applyAlignment="1">
      <alignment horizontal="right" vertical="center" wrapText="1"/>
    </xf>
    <xf numFmtId="3" fontId="16" fillId="0" borderId="10" xfId="0" applyNumberFormat="1" applyFont="1" applyFill="1" applyBorder="1" applyAlignment="1">
      <alignment horizontal="right" vertical="center" wrapText="1"/>
    </xf>
    <xf numFmtId="3" fontId="16" fillId="0" borderId="10" xfId="0" applyNumberFormat="1" applyFont="1" applyFill="1" applyBorder="1" applyAlignment="1">
      <alignment horizontal="center" vertical="center" wrapText="1"/>
    </xf>
    <xf numFmtId="0" fontId="20" fillId="0" borderId="10" xfId="0" applyFont="1" applyFill="1" applyBorder="1" applyAlignment="1">
      <alignment vertical="center" wrapText="1"/>
    </xf>
    <xf numFmtId="0" fontId="16" fillId="0" borderId="10" xfId="0" applyFont="1" applyFill="1" applyBorder="1" applyAlignment="1">
      <alignment/>
    </xf>
    <xf numFmtId="0" fontId="16" fillId="0" borderId="10" xfId="0" applyFont="1" applyFill="1" applyBorder="1" applyAlignment="1">
      <alignment horizontal="center" vertical="center" wrapText="1"/>
    </xf>
    <xf numFmtId="189" fontId="16" fillId="0" borderId="10" xfId="0" applyNumberFormat="1" applyFont="1" applyFill="1" applyBorder="1" applyAlignment="1">
      <alignment vertical="center"/>
    </xf>
    <xf numFmtId="189" fontId="16" fillId="0" borderId="10" xfId="0" applyNumberFormat="1" applyFont="1" applyFill="1" applyBorder="1" applyAlignment="1">
      <alignment horizontal="center" vertical="center" wrapText="1"/>
    </xf>
    <xf numFmtId="0" fontId="3" fillId="0" borderId="10" xfId="0" applyFont="1" applyFill="1" applyBorder="1" applyAlignment="1">
      <alignment vertical="center" wrapText="1"/>
    </xf>
    <xf numFmtId="1" fontId="3" fillId="0" borderId="10" xfId="76" applyNumberFormat="1" applyFont="1" applyFill="1" applyBorder="1" applyAlignment="1">
      <alignment horizontal="center" vertical="center" wrapText="1"/>
      <protection/>
    </xf>
    <xf numFmtId="189" fontId="3" fillId="0" borderId="10" xfId="0" applyNumberFormat="1" applyFont="1" applyFill="1" applyBorder="1" applyAlignment="1">
      <alignment vertical="center"/>
    </xf>
    <xf numFmtId="0" fontId="3" fillId="0" borderId="0" xfId="0" applyFont="1" applyFill="1" applyAlignment="1">
      <alignment/>
    </xf>
    <xf numFmtId="0" fontId="16" fillId="0" borderId="10" xfId="0" applyFont="1" applyFill="1" applyBorder="1" applyAlignment="1">
      <alignment horizontal="justify" vertical="center"/>
    </xf>
    <xf numFmtId="0" fontId="16" fillId="0" borderId="10" xfId="0" applyFont="1" applyFill="1" applyBorder="1" applyAlignment="1">
      <alignment horizontal="center"/>
    </xf>
    <xf numFmtId="3" fontId="16" fillId="0" borderId="10" xfId="0" applyNumberFormat="1" applyFont="1" applyFill="1" applyBorder="1" applyAlignment="1">
      <alignment/>
    </xf>
    <xf numFmtId="3" fontId="16" fillId="0" borderId="10" xfId="0" applyNumberFormat="1" applyFont="1" applyFill="1" applyBorder="1" applyAlignment="1">
      <alignment horizontal="center" vertical="center"/>
    </xf>
    <xf numFmtId="0" fontId="13" fillId="0" borderId="10" xfId="0" applyFont="1" applyFill="1" applyBorder="1" applyAlignment="1">
      <alignment horizontal="center" vertical="center"/>
    </xf>
    <xf numFmtId="189" fontId="16" fillId="0" borderId="10" xfId="0" applyNumberFormat="1" applyFont="1" applyFill="1" applyBorder="1" applyAlignment="1">
      <alignment horizontal="right" vertical="center"/>
    </xf>
    <xf numFmtId="189" fontId="16" fillId="0" borderId="10" xfId="0" applyNumberFormat="1" applyFont="1" applyFill="1" applyBorder="1" applyAlignment="1">
      <alignment horizontal="center" vertical="center"/>
    </xf>
    <xf numFmtId="0" fontId="16" fillId="0" borderId="10" xfId="0" applyFont="1" applyFill="1" applyBorder="1" applyAlignment="1">
      <alignment vertical="center"/>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xf>
    <xf numFmtId="0" fontId="16" fillId="0" borderId="0" xfId="0" applyFont="1" applyFill="1" applyAlignment="1">
      <alignment horizontal="center" vertical="center"/>
    </xf>
    <xf numFmtId="0" fontId="16" fillId="0" borderId="0" xfId="0" applyFont="1" applyFill="1" applyAlignment="1">
      <alignment horizontal="center"/>
    </xf>
    <xf numFmtId="3" fontId="7" fillId="32" borderId="13" xfId="75" applyNumberFormat="1" applyFont="1" applyFill="1" applyBorder="1" applyAlignment="1">
      <alignment vertical="center" wrapText="1"/>
      <protection/>
    </xf>
    <xf numFmtId="0" fontId="16" fillId="0" borderId="10" xfId="40" applyFont="1" applyFill="1" applyBorder="1" applyAlignment="1">
      <alignment horizontal="center" vertical="center" wrapText="1"/>
      <protection/>
    </xf>
    <xf numFmtId="0" fontId="18" fillId="0" borderId="11" xfId="40" applyFont="1" applyFill="1" applyBorder="1" applyAlignment="1">
      <alignment horizontal="center" vertical="center" wrapText="1"/>
      <protection/>
    </xf>
    <xf numFmtId="0" fontId="17" fillId="0" borderId="10" xfId="40" applyFont="1" applyFill="1" applyBorder="1" applyAlignment="1">
      <alignment horizontal="center" vertical="center" wrapText="1"/>
      <protection/>
    </xf>
    <xf numFmtId="0" fontId="17" fillId="0" borderId="14" xfId="40" applyFont="1" applyFill="1" applyBorder="1" applyAlignment="1">
      <alignment horizontal="center" vertical="center" wrapText="1"/>
      <protection/>
    </xf>
    <xf numFmtId="0" fontId="19" fillId="0" borderId="10" xfId="40" applyFont="1" applyFill="1" applyBorder="1" applyAlignment="1">
      <alignment horizontal="center" vertical="center" wrapText="1"/>
      <protection/>
    </xf>
    <xf numFmtId="3" fontId="17" fillId="0" borderId="10" xfId="40" applyNumberFormat="1" applyFont="1" applyFill="1" applyBorder="1" applyAlignment="1">
      <alignment horizontal="right" vertical="center" wrapText="1"/>
      <protection/>
    </xf>
    <xf numFmtId="188" fontId="17" fillId="0" borderId="10" xfId="40" applyNumberFormat="1" applyFont="1" applyFill="1" applyBorder="1" applyAlignment="1">
      <alignment horizontal="center" vertical="center" wrapText="1"/>
      <protection/>
    </xf>
    <xf numFmtId="0" fontId="17" fillId="0" borderId="10" xfId="0" applyFont="1" applyFill="1" applyBorder="1" applyAlignment="1">
      <alignment vertical="center" wrapText="1"/>
    </xf>
    <xf numFmtId="3" fontId="17" fillId="0" borderId="10" xfId="0" applyNumberFormat="1" applyFont="1" applyFill="1" applyBorder="1" applyAlignment="1">
      <alignment horizontal="right" vertical="center" wrapText="1"/>
    </xf>
    <xf numFmtId="188" fontId="17" fillId="0" borderId="10" xfId="0" applyNumberFormat="1" applyFont="1" applyFill="1" applyBorder="1" applyAlignment="1">
      <alignment horizontal="center" vertical="center" wrapText="1"/>
    </xf>
    <xf numFmtId="0" fontId="21" fillId="0" borderId="10" xfId="40" applyFont="1" applyFill="1" applyBorder="1" applyAlignment="1">
      <alignment horizontal="center" vertical="center" wrapText="1"/>
      <protection/>
    </xf>
    <xf numFmtId="0" fontId="21" fillId="0" borderId="10" xfId="0" applyFont="1" applyFill="1" applyBorder="1" applyAlignment="1">
      <alignment vertical="center" wrapText="1"/>
    </xf>
    <xf numFmtId="3" fontId="21" fillId="0" borderId="10" xfId="40" applyNumberFormat="1" applyFont="1" applyFill="1" applyBorder="1" applyAlignment="1">
      <alignment horizontal="right" vertical="center" wrapText="1"/>
      <protection/>
    </xf>
    <xf numFmtId="0" fontId="17" fillId="0" borderId="0" xfId="0" applyFont="1" applyFill="1" applyAlignment="1">
      <alignment/>
    </xf>
    <xf numFmtId="3" fontId="18" fillId="0" borderId="10" xfId="75" applyNumberFormat="1" applyFont="1" applyFill="1" applyBorder="1" applyAlignment="1">
      <alignment horizontal="center" vertical="center" wrapText="1"/>
      <protection/>
    </xf>
    <xf numFmtId="0" fontId="18" fillId="0" borderId="10" xfId="0" applyFont="1" applyFill="1" applyBorder="1" applyAlignment="1">
      <alignment horizontal="left" vertical="center" wrapText="1"/>
    </xf>
    <xf numFmtId="0" fontId="18" fillId="0" borderId="10" xfId="40" applyFont="1" applyFill="1" applyBorder="1" applyAlignment="1">
      <alignment horizontal="center" vertical="center" wrapText="1"/>
      <protection/>
    </xf>
    <xf numFmtId="3" fontId="18" fillId="0" borderId="10" xfId="40" applyNumberFormat="1" applyFont="1" applyFill="1" applyBorder="1" applyAlignment="1">
      <alignment horizontal="right" vertical="center" wrapText="1"/>
      <protection/>
    </xf>
    <xf numFmtId="3" fontId="17" fillId="0" borderId="10" xfId="75" applyNumberFormat="1" applyFont="1" applyFill="1" applyBorder="1" applyAlignment="1">
      <alignment horizontal="center" vertical="center" wrapText="1"/>
      <protection/>
    </xf>
    <xf numFmtId="0" fontId="17" fillId="0" borderId="10" xfId="0" applyFont="1" applyFill="1" applyBorder="1" applyAlignment="1">
      <alignment horizontal="left" vertical="center" wrapText="1"/>
    </xf>
    <xf numFmtId="0" fontId="21" fillId="0" borderId="10" xfId="0" applyFont="1" applyFill="1" applyBorder="1" applyAlignment="1">
      <alignment horizontal="center" vertical="center"/>
    </xf>
    <xf numFmtId="0" fontId="21" fillId="0" borderId="10" xfId="0" applyFont="1" applyFill="1" applyBorder="1" applyAlignment="1">
      <alignment/>
    </xf>
    <xf numFmtId="3" fontId="21" fillId="0" borderId="10" xfId="0" applyNumberFormat="1" applyFont="1" applyFill="1" applyBorder="1" applyAlignment="1">
      <alignment horizontal="right" vertical="center"/>
    </xf>
    <xf numFmtId="188" fontId="17" fillId="0" borderId="10" xfId="0" applyNumberFormat="1" applyFont="1" applyFill="1" applyBorder="1" applyAlignment="1">
      <alignment horizontal="center" vertical="center"/>
    </xf>
    <xf numFmtId="0" fontId="21" fillId="0" borderId="0" xfId="0" applyFont="1" applyFill="1" applyAlignment="1">
      <alignment/>
    </xf>
    <xf numFmtId="0" fontId="18" fillId="0" borderId="10" xfId="0" applyFont="1" applyFill="1" applyBorder="1" applyAlignment="1">
      <alignment horizontal="center" vertical="center"/>
    </xf>
    <xf numFmtId="0" fontId="18" fillId="0" borderId="10" xfId="0" applyFont="1" applyFill="1" applyBorder="1" applyAlignment="1">
      <alignment vertical="center" wrapText="1"/>
    </xf>
    <xf numFmtId="0" fontId="18" fillId="0" borderId="10" xfId="0" applyFont="1" applyFill="1" applyBorder="1" applyAlignment="1">
      <alignment horizontal="center" vertical="center" wrapText="1"/>
    </xf>
    <xf numFmtId="3" fontId="18" fillId="0" borderId="10" xfId="0" applyNumberFormat="1" applyFont="1" applyFill="1" applyBorder="1" applyAlignment="1">
      <alignment horizontal="right" vertical="center"/>
    </xf>
    <xf numFmtId="3" fontId="18" fillId="0" borderId="10" xfId="0" applyNumberFormat="1" applyFont="1" applyFill="1" applyBorder="1" applyAlignment="1">
      <alignment horizontal="right"/>
    </xf>
    <xf numFmtId="0" fontId="21" fillId="0" borderId="10" xfId="40" applyFont="1" applyFill="1" applyBorder="1" applyAlignment="1">
      <alignment horizontal="center" vertical="center"/>
      <protection/>
    </xf>
    <xf numFmtId="3" fontId="21" fillId="0" borderId="10" xfId="40" applyNumberFormat="1" applyFont="1" applyFill="1" applyBorder="1" applyAlignment="1">
      <alignment horizontal="right" vertical="center"/>
      <protection/>
    </xf>
    <xf numFmtId="188" fontId="17" fillId="0" borderId="10" xfId="40" applyNumberFormat="1" applyFont="1" applyFill="1" applyBorder="1" applyAlignment="1">
      <alignment horizontal="center" vertical="center"/>
      <protection/>
    </xf>
    <xf numFmtId="0" fontId="18" fillId="0" borderId="10" xfId="40" applyFont="1" applyFill="1" applyBorder="1" applyAlignment="1">
      <alignment horizontal="center" vertical="center"/>
      <protection/>
    </xf>
    <xf numFmtId="3" fontId="18" fillId="0" borderId="10" xfId="40" applyNumberFormat="1" applyFont="1" applyFill="1" applyBorder="1" applyAlignment="1">
      <alignment horizontal="right" vertical="center"/>
      <protection/>
    </xf>
    <xf numFmtId="0" fontId="21" fillId="0" borderId="10" xfId="0" applyFont="1" applyFill="1" applyBorder="1" applyAlignment="1">
      <alignment horizontal="right" vertical="center"/>
    </xf>
    <xf numFmtId="0" fontId="21" fillId="0" borderId="10" xfId="0" applyFont="1" applyFill="1" applyBorder="1" applyAlignment="1">
      <alignment horizontal="center"/>
    </xf>
    <xf numFmtId="1" fontId="21" fillId="0" borderId="10" xfId="0" applyNumberFormat="1" applyFont="1" applyFill="1" applyBorder="1" applyAlignment="1">
      <alignment horizontal="center" vertical="center" wrapText="1"/>
    </xf>
    <xf numFmtId="1" fontId="21" fillId="0" borderId="10" xfId="0" applyNumberFormat="1" applyFont="1" applyFill="1" applyBorder="1" applyAlignment="1">
      <alignment horizontal="left" vertical="center" wrapText="1"/>
    </xf>
    <xf numFmtId="1" fontId="18" fillId="0" borderId="10" xfId="0" applyNumberFormat="1" applyFont="1" applyFill="1" applyBorder="1" applyAlignment="1">
      <alignment horizontal="center" vertical="center" wrapText="1"/>
    </xf>
    <xf numFmtId="3" fontId="18" fillId="0" borderId="10" xfId="0" applyNumberFormat="1" applyFont="1" applyFill="1" applyBorder="1" applyAlignment="1">
      <alignment horizontal="right" vertical="center" wrapText="1"/>
    </xf>
    <xf numFmtId="1" fontId="18" fillId="0" borderId="10" xfId="0" applyNumberFormat="1" applyFont="1" applyFill="1" applyBorder="1" applyAlignment="1">
      <alignment horizontal="left" vertical="center" wrapText="1"/>
    </xf>
    <xf numFmtId="49" fontId="18" fillId="0" borderId="10" xfId="0" applyNumberFormat="1" applyFont="1" applyFill="1" applyBorder="1" applyAlignment="1">
      <alignment horizontal="left" vertical="center" wrapText="1"/>
    </xf>
    <xf numFmtId="0" fontId="17" fillId="0" borderId="10" xfId="0" applyFont="1" applyFill="1" applyBorder="1" applyAlignment="1">
      <alignment horizontal="center" vertical="center"/>
    </xf>
    <xf numFmtId="0" fontId="17" fillId="0" borderId="10" xfId="0" applyFont="1" applyFill="1" applyBorder="1" applyAlignment="1">
      <alignment vertical="center"/>
    </xf>
    <xf numFmtId="3" fontId="17" fillId="0" borderId="10" xfId="0" applyNumberFormat="1" applyFont="1" applyFill="1" applyBorder="1" applyAlignment="1">
      <alignment horizontal="right" vertical="center"/>
    </xf>
    <xf numFmtId="3" fontId="17" fillId="0" borderId="10" xfId="0" applyNumberFormat="1" applyFont="1" applyFill="1" applyBorder="1" applyAlignment="1">
      <alignment horizontal="center" vertical="center"/>
    </xf>
    <xf numFmtId="0" fontId="18" fillId="0" borderId="10" xfId="0" applyFont="1" applyFill="1" applyBorder="1" applyAlignment="1">
      <alignment vertical="center"/>
    </xf>
    <xf numFmtId="188" fontId="18" fillId="0" borderId="10" xfId="0" applyNumberFormat="1" applyFont="1" applyFill="1" applyBorder="1" applyAlignment="1">
      <alignment horizontal="right" vertical="center"/>
    </xf>
    <xf numFmtId="0" fontId="17" fillId="0" borderId="10" xfId="0" applyFont="1" applyFill="1" applyBorder="1" applyAlignment="1">
      <alignment/>
    </xf>
    <xf numFmtId="0" fontId="18" fillId="0" borderId="10" xfId="0" applyFont="1" applyFill="1" applyBorder="1" applyAlignment="1">
      <alignment horizontal="justify" vertical="center" wrapText="1"/>
    </xf>
    <xf numFmtId="188" fontId="18" fillId="0" borderId="10" xfId="0" applyNumberFormat="1" applyFont="1" applyFill="1" applyBorder="1" applyAlignment="1">
      <alignment horizontal="center" vertical="center" wrapText="1"/>
    </xf>
    <xf numFmtId="0" fontId="18" fillId="0" borderId="10" xfId="0" applyFont="1" applyFill="1" applyBorder="1" applyAlignment="1">
      <alignment horizontal="center"/>
    </xf>
    <xf numFmtId="3" fontId="17" fillId="0" borderId="10" xfId="0" applyNumberFormat="1" applyFont="1" applyFill="1" applyBorder="1" applyAlignment="1">
      <alignment horizontal="center" vertical="center" wrapText="1"/>
    </xf>
    <xf numFmtId="0" fontId="18" fillId="0" borderId="10" xfId="0" applyFont="1" applyFill="1" applyBorder="1" applyAlignment="1">
      <alignment/>
    </xf>
    <xf numFmtId="3" fontId="18" fillId="0" borderId="10" xfId="0" applyNumberFormat="1" applyFont="1" applyFill="1" applyBorder="1" applyAlignment="1">
      <alignment horizontal="center" vertical="center"/>
    </xf>
    <xf numFmtId="0" fontId="18" fillId="0" borderId="0" xfId="0" applyFont="1" applyFill="1" applyAlignment="1">
      <alignment vertical="center"/>
    </xf>
    <xf numFmtId="3" fontId="21" fillId="0" borderId="10" xfId="0" applyNumberFormat="1" applyFont="1" applyFill="1" applyBorder="1" applyAlignment="1">
      <alignment horizontal="right" vertical="center" wrapText="1"/>
    </xf>
    <xf numFmtId="0" fontId="17" fillId="0" borderId="10" xfId="0" applyFont="1" applyFill="1" applyBorder="1" applyAlignment="1">
      <alignment horizontal="center" vertical="center" wrapText="1"/>
    </xf>
    <xf numFmtId="0" fontId="17" fillId="0" borderId="0" xfId="0" applyFont="1" applyFill="1" applyBorder="1" applyAlignment="1">
      <alignment horizontal="left" vertical="top"/>
    </xf>
    <xf numFmtId="0" fontId="18" fillId="0" borderId="10" xfId="40" applyFont="1" applyFill="1" applyBorder="1" applyAlignment="1">
      <alignment horizontal="left" vertical="center" wrapText="1"/>
      <protection/>
    </xf>
    <xf numFmtId="3" fontId="18" fillId="0" borderId="10" xfId="40" applyNumberFormat="1" applyFont="1" applyFill="1" applyBorder="1" applyAlignment="1">
      <alignment horizontal="center" vertical="center" wrapText="1"/>
      <protection/>
    </xf>
    <xf numFmtId="188" fontId="18" fillId="0" borderId="10" xfId="40" applyNumberFormat="1" applyFont="1" applyFill="1" applyBorder="1" applyAlignment="1">
      <alignment horizontal="center" vertical="center" wrapText="1"/>
      <protection/>
    </xf>
    <xf numFmtId="0" fontId="18" fillId="0" borderId="0" xfId="0" applyFont="1" applyFill="1" applyAlignment="1">
      <alignment horizontal="center" vertical="center"/>
    </xf>
    <xf numFmtId="0" fontId="18" fillId="0" borderId="0" xfId="0" applyFont="1" applyFill="1" applyAlignment="1">
      <alignment horizontal="left"/>
    </xf>
    <xf numFmtId="0" fontId="18" fillId="0" borderId="0" xfId="0" applyFont="1" applyFill="1" applyAlignment="1">
      <alignment horizontal="center"/>
    </xf>
    <xf numFmtId="0" fontId="18" fillId="0" borderId="0" xfId="0" applyFont="1" applyFill="1" applyAlignment="1">
      <alignment horizontal="right"/>
    </xf>
    <xf numFmtId="3" fontId="7" fillId="0" borderId="10" xfId="75" applyNumberFormat="1" applyFont="1" applyFill="1" applyBorder="1" applyAlignment="1">
      <alignment horizontal="center" vertical="center" wrapText="1"/>
      <protection/>
    </xf>
    <xf numFmtId="0" fontId="74" fillId="0" borderId="0" xfId="0" applyFont="1" applyFill="1" applyBorder="1" applyAlignment="1">
      <alignment horizontal="center" vertical="center" wrapText="1"/>
    </xf>
    <xf numFmtId="0" fontId="74" fillId="0" borderId="10" xfId="0" applyFont="1" applyFill="1" applyBorder="1" applyAlignment="1">
      <alignment horizontal="center" vertical="center" wrapText="1"/>
    </xf>
    <xf numFmtId="0" fontId="75" fillId="0" borderId="10" xfId="69" applyFont="1" applyFill="1" applyBorder="1" applyAlignment="1">
      <alignment horizontal="center" vertical="center" wrapText="1"/>
      <protection/>
    </xf>
    <xf numFmtId="0" fontId="75" fillId="0" borderId="10" xfId="0" applyFont="1" applyFill="1" applyBorder="1" applyAlignment="1">
      <alignment horizontal="center" vertical="center" wrapText="1"/>
    </xf>
    <xf numFmtId="0" fontId="74" fillId="0" borderId="10" xfId="69" applyFont="1" applyFill="1" applyBorder="1" applyAlignment="1" quotePrefix="1">
      <alignment horizontal="center" vertical="center" wrapText="1"/>
      <protection/>
    </xf>
    <xf numFmtId="189" fontId="74" fillId="0" borderId="10" xfId="44" applyNumberFormat="1" applyFont="1" applyFill="1" applyBorder="1" applyAlignment="1">
      <alignment horizontal="left" vertical="center" wrapText="1"/>
    </xf>
    <xf numFmtId="0" fontId="75" fillId="0" borderId="10" xfId="0" applyFont="1" applyFill="1" applyBorder="1" applyAlignment="1">
      <alignment horizontal="center" vertical="center"/>
    </xf>
    <xf numFmtId="0" fontId="75" fillId="0" borderId="10" xfId="0" applyFont="1" applyFill="1" applyBorder="1" applyAlignment="1">
      <alignment vertical="center"/>
    </xf>
    <xf numFmtId="0" fontId="75" fillId="0" borderId="10" xfId="0" applyFont="1" applyFill="1" applyBorder="1" applyAlignment="1">
      <alignment horizontal="left" vertical="center"/>
    </xf>
    <xf numFmtId="0" fontId="75" fillId="32" borderId="10" xfId="0" applyFont="1" applyFill="1" applyBorder="1" applyAlignment="1">
      <alignment vertical="center"/>
    </xf>
    <xf numFmtId="0" fontId="17" fillId="0" borderId="0" xfId="40" applyFont="1" applyFill="1" applyBorder="1" applyAlignment="1">
      <alignment horizontal="right" vertical="center"/>
      <protection/>
    </xf>
    <xf numFmtId="0" fontId="18" fillId="0" borderId="11" xfId="40" applyFont="1" applyFill="1" applyBorder="1" applyAlignment="1">
      <alignment horizontal="right" vertical="center" wrapText="1"/>
      <protection/>
    </xf>
    <xf numFmtId="0" fontId="18" fillId="0" borderId="0" xfId="0" applyFont="1" applyFill="1" applyAlignment="1">
      <alignment horizontal="right" vertical="center"/>
    </xf>
    <xf numFmtId="0" fontId="18" fillId="0" borderId="15" xfId="0" applyFont="1" applyFill="1" applyBorder="1" applyAlignment="1">
      <alignment vertical="top"/>
    </xf>
    <xf numFmtId="3" fontId="18" fillId="0" borderId="0" xfId="0" applyNumberFormat="1" applyFont="1" applyFill="1" applyAlignment="1">
      <alignment/>
    </xf>
    <xf numFmtId="194" fontId="18" fillId="0" borderId="0" xfId="0" applyNumberFormat="1" applyFont="1" applyFill="1" applyAlignment="1">
      <alignment/>
    </xf>
    <xf numFmtId="3" fontId="17" fillId="33" borderId="10" xfId="75" applyNumberFormat="1" applyFont="1" applyFill="1" applyBorder="1" applyAlignment="1">
      <alignment horizontal="center" vertical="center" wrapText="1"/>
      <protection/>
    </xf>
    <xf numFmtId="0" fontId="17" fillId="33" borderId="10" xfId="0" applyFont="1" applyFill="1" applyBorder="1" applyAlignment="1">
      <alignment horizontal="left" vertical="center" wrapText="1"/>
    </xf>
    <xf numFmtId="0" fontId="17" fillId="33" borderId="10" xfId="40" applyFont="1" applyFill="1" applyBorder="1" applyAlignment="1">
      <alignment horizontal="center" vertical="center" wrapText="1"/>
      <protection/>
    </xf>
    <xf numFmtId="3" fontId="17" fillId="33" borderId="10" xfId="40" applyNumberFormat="1" applyFont="1" applyFill="1" applyBorder="1" applyAlignment="1">
      <alignment horizontal="right" vertical="center" wrapText="1"/>
      <protection/>
    </xf>
    <xf numFmtId="3" fontId="18" fillId="33" borderId="10" xfId="40" applyNumberFormat="1" applyFont="1" applyFill="1" applyBorder="1" applyAlignment="1">
      <alignment horizontal="right" vertical="center" wrapText="1"/>
      <protection/>
    </xf>
    <xf numFmtId="0" fontId="19" fillId="33" borderId="10" xfId="40" applyFont="1" applyFill="1" applyBorder="1" applyAlignment="1">
      <alignment horizontal="center" vertical="center" wrapText="1"/>
      <protection/>
    </xf>
    <xf numFmtId="0" fontId="17" fillId="33" borderId="0" xfId="0" applyFont="1" applyFill="1" applyAlignment="1">
      <alignment/>
    </xf>
    <xf numFmtId="0" fontId="18" fillId="33" borderId="0" xfId="0" applyFont="1" applyFill="1" applyAlignment="1">
      <alignment/>
    </xf>
    <xf numFmtId="188" fontId="17" fillId="33" borderId="10" xfId="40" applyNumberFormat="1" applyFont="1" applyFill="1" applyBorder="1" applyAlignment="1">
      <alignment horizontal="center" vertical="center" wrapText="1"/>
      <protection/>
    </xf>
    <xf numFmtId="189" fontId="74" fillId="0" borderId="10" xfId="44" applyNumberFormat="1" applyFont="1" applyFill="1" applyBorder="1" applyAlignment="1">
      <alignment vertical="center" wrapText="1"/>
    </xf>
    <xf numFmtId="189" fontId="75" fillId="0" borderId="10" xfId="44" applyNumberFormat="1" applyFont="1" applyFill="1" applyBorder="1" applyAlignment="1">
      <alignment vertical="center" wrapText="1"/>
    </xf>
    <xf numFmtId="189" fontId="75" fillId="0" borderId="10" xfId="48" applyNumberFormat="1" applyFont="1" applyFill="1" applyBorder="1" applyAlignment="1">
      <alignment horizontal="left" vertical="center" wrapText="1"/>
    </xf>
    <xf numFmtId="189" fontId="75" fillId="32" borderId="10" xfId="0" applyNumberFormat="1" applyFont="1" applyFill="1" applyBorder="1" applyAlignment="1">
      <alignment vertical="center" wrapText="1"/>
    </xf>
    <xf numFmtId="0" fontId="3" fillId="0" borderId="0" xfId="40" applyFont="1" applyFill="1" applyBorder="1" applyAlignment="1">
      <alignment horizontal="center" vertical="center"/>
      <protection/>
    </xf>
    <xf numFmtId="0" fontId="3" fillId="0" borderId="0" xfId="40" applyFont="1" applyFill="1" applyBorder="1" applyAlignment="1">
      <alignment vertical="center"/>
      <protection/>
    </xf>
    <xf numFmtId="189" fontId="16" fillId="0" borderId="0" xfId="0" applyNumberFormat="1" applyFont="1" applyFill="1" applyAlignment="1">
      <alignment/>
    </xf>
    <xf numFmtId="189" fontId="75" fillId="0" borderId="0" xfId="0" applyNumberFormat="1" applyFont="1" applyAlignment="1">
      <alignment vertical="center"/>
    </xf>
    <xf numFmtId="0" fontId="75" fillId="0" borderId="0" xfId="0" applyFont="1" applyAlignment="1">
      <alignment vertical="center"/>
    </xf>
    <xf numFmtId="189" fontId="75" fillId="0" borderId="10" xfId="0" applyNumberFormat="1" applyFont="1" applyBorder="1" applyAlignment="1">
      <alignment vertical="center"/>
    </xf>
    <xf numFmtId="3" fontId="72" fillId="32" borderId="10" xfId="0" applyNumberFormat="1" applyFont="1" applyFill="1" applyBorder="1" applyAlignment="1">
      <alignment horizontal="center" vertical="center" wrapText="1"/>
    </xf>
    <xf numFmtId="3" fontId="72" fillId="32" borderId="10" xfId="75" applyNumberFormat="1" applyFont="1" applyFill="1" applyBorder="1" applyAlignment="1">
      <alignment horizontal="center" vertical="center" wrapText="1"/>
      <protection/>
    </xf>
    <xf numFmtId="3" fontId="7" fillId="32" borderId="10" xfId="75" applyNumberFormat="1" applyFont="1" applyFill="1" applyBorder="1" applyAlignment="1">
      <alignment vertical="center" wrapText="1"/>
      <protection/>
    </xf>
    <xf numFmtId="3" fontId="7" fillId="0" borderId="10" xfId="44" applyNumberFormat="1" applyFont="1" applyFill="1" applyBorder="1" applyAlignment="1">
      <alignment horizontal="right" vertical="center" wrapText="1"/>
    </xf>
    <xf numFmtId="3" fontId="7" fillId="0" borderId="10" xfId="0" applyNumberFormat="1" applyFont="1" applyFill="1" applyBorder="1" applyAlignment="1">
      <alignment horizontal="center" vertical="center" wrapText="1"/>
    </xf>
    <xf numFmtId="3" fontId="7" fillId="0" borderId="10" xfId="75" applyNumberFormat="1" applyFont="1" applyFill="1" applyBorder="1" applyAlignment="1">
      <alignment horizontal="left" vertical="center" wrapText="1"/>
      <protection/>
    </xf>
    <xf numFmtId="3" fontId="7" fillId="0" borderId="10" xfId="0" applyNumberFormat="1" applyFont="1" applyFill="1" applyBorder="1" applyAlignment="1" quotePrefix="1">
      <alignment horizontal="center" vertical="center" wrapText="1"/>
    </xf>
    <xf numFmtId="0" fontId="7" fillId="0" borderId="10" xfId="0" applyNumberFormat="1" applyFont="1" applyFill="1" applyBorder="1" applyAlignment="1">
      <alignment horizontal="center" vertical="center" wrapText="1"/>
    </xf>
    <xf numFmtId="189" fontId="7" fillId="0" borderId="10" xfId="44" applyNumberFormat="1" applyFont="1" applyFill="1" applyBorder="1" applyAlignment="1">
      <alignment horizontal="right" vertical="center" wrapText="1"/>
    </xf>
    <xf numFmtId="189" fontId="7" fillId="0" borderId="10" xfId="44" applyNumberFormat="1" applyFont="1" applyFill="1" applyBorder="1" applyAlignment="1">
      <alignment horizontal="center" vertical="center" wrapText="1"/>
    </xf>
    <xf numFmtId="3" fontId="9" fillId="0" borderId="10" xfId="44" applyNumberFormat="1" applyFont="1" applyFill="1" applyBorder="1" applyAlignment="1">
      <alignment horizontal="right" vertical="center" wrapText="1"/>
    </xf>
    <xf numFmtId="189" fontId="8" fillId="0" borderId="10" xfId="44" applyNumberFormat="1" applyFont="1" applyFill="1" applyBorder="1" applyAlignment="1">
      <alignment horizontal="right" vertical="center" wrapText="1"/>
    </xf>
    <xf numFmtId="3" fontId="8" fillId="0" borderId="10" xfId="75" applyNumberFormat="1" applyFont="1" applyFill="1" applyBorder="1" applyAlignment="1">
      <alignment horizontal="left" vertical="center" wrapText="1"/>
      <protection/>
    </xf>
    <xf numFmtId="3" fontId="7" fillId="32" borderId="10" xfId="75" applyNumberFormat="1" applyFont="1" applyFill="1" applyBorder="1" applyAlignment="1">
      <alignment horizontal="center" vertical="center" wrapText="1"/>
      <protection/>
    </xf>
    <xf numFmtId="3" fontId="8" fillId="0" borderId="10" xfId="75" applyNumberFormat="1" applyFont="1" applyFill="1" applyBorder="1" applyAlignment="1">
      <alignment horizontal="center" vertical="center" wrapText="1"/>
      <protection/>
    </xf>
    <xf numFmtId="0" fontId="7" fillId="0" borderId="10" xfId="75" applyNumberFormat="1" applyFont="1" applyFill="1" applyBorder="1" applyAlignment="1">
      <alignment horizontal="center" vertical="center" wrapText="1"/>
      <protection/>
    </xf>
    <xf numFmtId="189" fontId="7" fillId="0" borderId="14" xfId="44" applyNumberFormat="1" applyFont="1" applyFill="1" applyBorder="1" applyAlignment="1">
      <alignment vertical="center" wrapText="1"/>
    </xf>
    <xf numFmtId="189" fontId="7" fillId="0" borderId="16" xfId="44" applyNumberFormat="1" applyFont="1" applyFill="1" applyBorder="1" applyAlignment="1">
      <alignment vertical="center" wrapText="1"/>
    </xf>
    <xf numFmtId="3" fontId="7" fillId="0" borderId="10" xfId="75" applyNumberFormat="1" applyFont="1" applyFill="1" applyBorder="1" applyAlignment="1">
      <alignment vertical="center" wrapText="1"/>
      <protection/>
    </xf>
    <xf numFmtId="189" fontId="7" fillId="0" borderId="10" xfId="44" applyNumberFormat="1" applyFont="1" applyFill="1" applyBorder="1" applyAlignment="1" quotePrefix="1">
      <alignment horizontal="right" vertical="center" wrapText="1"/>
    </xf>
    <xf numFmtId="3" fontId="9" fillId="0" borderId="10" xfId="75" applyNumberFormat="1" applyFont="1" applyFill="1" applyBorder="1" applyAlignment="1">
      <alignment horizontal="left" vertical="center" wrapText="1"/>
      <protection/>
    </xf>
    <xf numFmtId="189" fontId="9" fillId="0" borderId="10" xfId="44" applyNumberFormat="1" applyFont="1" applyFill="1" applyBorder="1" applyAlignment="1">
      <alignment horizontal="right" vertical="center" wrapText="1"/>
    </xf>
    <xf numFmtId="3" fontId="7" fillId="0" borderId="10" xfId="0" applyNumberFormat="1" applyFont="1" applyFill="1" applyBorder="1" applyAlignment="1">
      <alignment horizontal="left" vertical="center" wrapText="1"/>
    </xf>
    <xf numFmtId="0" fontId="7"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189" fontId="9" fillId="0" borderId="10" xfId="44" applyNumberFormat="1" applyFont="1" applyFill="1" applyBorder="1" applyAlignment="1">
      <alignment horizontal="center" vertical="center" wrapText="1"/>
    </xf>
    <xf numFmtId="0" fontId="9" fillId="0" borderId="0" xfId="0" applyFont="1" applyFill="1" applyAlignment="1">
      <alignment horizontal="right" vertical="center" wrapText="1"/>
    </xf>
    <xf numFmtId="3" fontId="8" fillId="0" borderId="10" xfId="0" applyNumberFormat="1" applyFont="1" applyFill="1" applyBorder="1" applyAlignment="1">
      <alignment horizontal="center" vertical="center" wrapText="1"/>
    </xf>
    <xf numFmtId="3"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0" borderId="0" xfId="0" applyFont="1" applyFill="1" applyAlignment="1">
      <alignment horizontal="right" vertical="center" wrapText="1"/>
    </xf>
    <xf numFmtId="189" fontId="7" fillId="0" borderId="0" xfId="0" applyNumberFormat="1" applyFont="1" applyFill="1" applyAlignment="1">
      <alignment horizontal="right" vertical="center" wrapText="1"/>
    </xf>
    <xf numFmtId="0" fontId="7" fillId="0" borderId="0" xfId="0" applyFont="1" applyFill="1" applyAlignment="1">
      <alignment horizontal="left" vertical="center" wrapText="1"/>
    </xf>
    <xf numFmtId="0" fontId="7" fillId="0" borderId="0" xfId="0" applyNumberFormat="1" applyFont="1" applyFill="1" applyAlignment="1">
      <alignment horizontal="center" vertical="center" wrapText="1"/>
    </xf>
    <xf numFmtId="189" fontId="7" fillId="0" borderId="0" xfId="44" applyNumberFormat="1" applyFont="1" applyFill="1" applyAlignment="1">
      <alignment horizontal="right" vertical="center" wrapText="1"/>
    </xf>
    <xf numFmtId="189" fontId="7" fillId="0" borderId="0" xfId="44" applyNumberFormat="1" applyFont="1" applyFill="1" applyAlignment="1">
      <alignment horizontal="center" vertical="center" wrapText="1"/>
    </xf>
    <xf numFmtId="3" fontId="8" fillId="0" borderId="10" xfId="44" applyNumberFormat="1" applyFont="1" applyFill="1" applyBorder="1" applyAlignment="1">
      <alignment horizontal="right" vertical="center" wrapText="1"/>
    </xf>
    <xf numFmtId="4" fontId="8" fillId="0" borderId="10" xfId="0" applyNumberFormat="1" applyFont="1" applyFill="1" applyBorder="1" applyAlignment="1">
      <alignment horizontal="center" vertical="center" wrapText="1"/>
    </xf>
    <xf numFmtId="189" fontId="8" fillId="0" borderId="10" xfId="44" applyNumberFormat="1" applyFont="1" applyFill="1" applyBorder="1" applyAlignment="1">
      <alignment horizontal="center" vertical="center" wrapText="1"/>
    </xf>
    <xf numFmtId="3" fontId="9"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9" fontId="7" fillId="0" borderId="10" xfId="44" applyNumberFormat="1" applyFont="1" applyFill="1" applyBorder="1" applyAlignment="1">
      <alignment horizontal="right" vertical="center" wrapText="1"/>
    </xf>
    <xf numFmtId="189" fontId="7" fillId="0" borderId="10" xfId="0" applyNumberFormat="1" applyFont="1" applyFill="1" applyBorder="1" applyAlignment="1">
      <alignment horizontal="center" vertical="center" wrapText="1"/>
    </xf>
    <xf numFmtId="189" fontId="7" fillId="0" borderId="10" xfId="0" applyNumberFormat="1" applyFont="1" applyFill="1" applyBorder="1" applyAlignment="1">
      <alignment horizontal="left" vertical="center" wrapText="1"/>
    </xf>
    <xf numFmtId="49" fontId="7" fillId="0" borderId="10" xfId="68" applyNumberFormat="1" applyFont="1" applyFill="1" applyBorder="1" applyAlignment="1">
      <alignment horizontal="center" vertical="center" wrapText="1"/>
      <protection/>
    </xf>
    <xf numFmtId="199" fontId="7" fillId="0" borderId="10" xfId="44" applyNumberFormat="1" applyFont="1" applyFill="1" applyBorder="1" applyAlignment="1">
      <alignment horizontal="right" vertical="center" wrapText="1"/>
    </xf>
    <xf numFmtId="3" fontId="8" fillId="0" borderId="10" xfId="0" applyNumberFormat="1" applyFont="1" applyFill="1" applyBorder="1" applyAlignment="1">
      <alignment horizontal="right" vertical="center" wrapText="1"/>
    </xf>
    <xf numFmtId="3" fontId="7" fillId="0" borderId="10" xfId="0" applyNumberFormat="1" applyFont="1" applyFill="1" applyBorder="1" applyAlignment="1">
      <alignment horizontal="right" vertical="center" wrapText="1"/>
    </xf>
    <xf numFmtId="3" fontId="3" fillId="0" borderId="10" xfId="0" applyNumberFormat="1" applyFont="1" applyFill="1" applyBorder="1" applyAlignment="1">
      <alignment vertical="center" wrapText="1"/>
    </xf>
    <xf numFmtId="3" fontId="16" fillId="0" borderId="10" xfId="0" applyNumberFormat="1" applyFont="1" applyFill="1" applyBorder="1" applyAlignment="1">
      <alignment vertical="center" wrapText="1"/>
    </xf>
    <xf numFmtId="3" fontId="8" fillId="0" borderId="10" xfId="75" applyNumberFormat="1" applyFont="1" applyFill="1" applyBorder="1" applyAlignment="1">
      <alignment horizontal="right" vertical="center" wrapText="1"/>
      <protection/>
    </xf>
    <xf numFmtId="3" fontId="8" fillId="0" borderId="10" xfId="75" applyNumberFormat="1" applyFont="1" applyFill="1" applyBorder="1" applyAlignment="1" quotePrefix="1">
      <alignment horizontal="center" vertical="center" wrapText="1"/>
      <protection/>
    </xf>
    <xf numFmtId="0" fontId="8" fillId="0" borderId="10" xfId="75" applyNumberFormat="1" applyFont="1" applyFill="1" applyBorder="1" applyAlignment="1" quotePrefix="1">
      <alignment horizontal="center" vertical="center" wrapText="1"/>
      <protection/>
    </xf>
    <xf numFmtId="189" fontId="8" fillId="0" borderId="10" xfId="44" applyNumberFormat="1" applyFont="1" applyFill="1" applyBorder="1" applyAlignment="1" quotePrefix="1">
      <alignment horizontal="right" vertical="center" wrapText="1"/>
    </xf>
    <xf numFmtId="189" fontId="8" fillId="0" borderId="10" xfId="44" applyNumberFormat="1" applyFont="1" applyFill="1" applyBorder="1" applyAlignment="1" quotePrefix="1">
      <alignment horizontal="center" vertical="center" wrapText="1"/>
    </xf>
    <xf numFmtId="3" fontId="9" fillId="0" borderId="10" xfId="75" applyNumberFormat="1" applyFont="1" applyFill="1" applyBorder="1" applyAlignment="1">
      <alignment horizontal="center" vertical="center" wrapText="1"/>
      <protection/>
    </xf>
    <xf numFmtId="3" fontId="9" fillId="0" borderId="10" xfId="75" applyNumberFormat="1" applyFont="1" applyFill="1" applyBorder="1" applyAlignment="1">
      <alignment vertical="center" wrapText="1"/>
      <protection/>
    </xf>
    <xf numFmtId="0" fontId="9" fillId="0" borderId="10" xfId="75" applyNumberFormat="1" applyFont="1" applyFill="1" applyBorder="1" applyAlignment="1">
      <alignment horizontal="center" vertical="center" wrapText="1"/>
      <protection/>
    </xf>
    <xf numFmtId="49" fontId="7" fillId="0" borderId="10" xfId="75" applyNumberFormat="1" applyFont="1" applyFill="1" applyBorder="1" applyAlignment="1">
      <alignment horizontal="center" vertical="center" wrapText="1"/>
      <protection/>
    </xf>
    <xf numFmtId="3" fontId="9" fillId="0" borderId="10" xfId="75" applyNumberFormat="1" applyFont="1" applyFill="1" applyBorder="1" applyAlignment="1">
      <alignment horizontal="center" vertical="center"/>
      <protection/>
    </xf>
    <xf numFmtId="3" fontId="7" fillId="0" borderId="10" xfId="75" applyNumberFormat="1" applyFont="1" applyFill="1" applyBorder="1" applyAlignment="1">
      <alignment vertical="center"/>
      <protection/>
    </xf>
    <xf numFmtId="189" fontId="7" fillId="0" borderId="10" xfId="44" applyNumberFormat="1" applyFont="1" applyFill="1" applyBorder="1" applyAlignment="1">
      <alignment horizontal="right" vertical="center"/>
    </xf>
    <xf numFmtId="3" fontId="7" fillId="0" borderId="10" xfId="75" applyNumberFormat="1" applyFont="1" applyFill="1" applyBorder="1" applyAlignment="1">
      <alignment horizontal="right" vertical="center"/>
      <protection/>
    </xf>
    <xf numFmtId="0" fontId="12" fillId="0" borderId="10" xfId="0" applyFont="1" applyFill="1" applyBorder="1" applyAlignment="1">
      <alignment horizontal="left" vertical="center" wrapText="1"/>
    </xf>
    <xf numFmtId="0" fontId="12" fillId="0" borderId="10" xfId="0" applyNumberFormat="1" applyFont="1" applyFill="1" applyBorder="1" applyAlignment="1">
      <alignment horizontal="center" vertical="center" wrapText="1"/>
    </xf>
    <xf numFmtId="3" fontId="8" fillId="0" borderId="10" xfId="75" applyNumberFormat="1" applyFont="1" applyFill="1" applyBorder="1" applyAlignment="1">
      <alignment vertical="center"/>
      <protection/>
    </xf>
    <xf numFmtId="189" fontId="8" fillId="0" borderId="10" xfId="44" applyNumberFormat="1" applyFont="1" applyFill="1" applyBorder="1" applyAlignment="1">
      <alignment horizontal="right" vertical="center"/>
    </xf>
    <xf numFmtId="3" fontId="8" fillId="0" borderId="10" xfId="75" applyNumberFormat="1" applyFont="1" applyFill="1" applyBorder="1" applyAlignment="1">
      <alignment horizontal="right" vertical="center"/>
      <protection/>
    </xf>
    <xf numFmtId="3" fontId="8" fillId="32" borderId="10" xfId="75" applyNumberFormat="1" applyFont="1" applyFill="1" applyBorder="1" applyAlignment="1">
      <alignment horizontal="center" vertical="center" wrapText="1"/>
      <protection/>
    </xf>
    <xf numFmtId="3" fontId="8" fillId="32" borderId="10" xfId="75" applyNumberFormat="1" applyFont="1" applyFill="1" applyBorder="1" applyAlignment="1" quotePrefix="1">
      <alignment horizontal="center" vertical="center" wrapText="1"/>
      <protection/>
    </xf>
    <xf numFmtId="3" fontId="7" fillId="32" borderId="10" xfId="75" applyNumberFormat="1" applyFont="1" applyFill="1" applyBorder="1" applyAlignment="1">
      <alignment vertical="center"/>
      <protection/>
    </xf>
    <xf numFmtId="3" fontId="7" fillId="32" borderId="10" xfId="75" applyNumberFormat="1" applyFont="1" applyFill="1" applyBorder="1" applyAlignment="1">
      <alignment horizontal="right" vertical="center"/>
      <protection/>
    </xf>
    <xf numFmtId="189" fontId="7" fillId="0" borderId="15" xfId="44" applyNumberFormat="1" applyFont="1" applyFill="1" applyBorder="1" applyAlignment="1">
      <alignment vertical="center" wrapText="1"/>
    </xf>
    <xf numFmtId="189" fontId="7" fillId="0" borderId="0" xfId="44" applyNumberFormat="1" applyFont="1" applyFill="1" applyBorder="1" applyAlignment="1">
      <alignment vertical="center" wrapText="1"/>
    </xf>
    <xf numFmtId="189" fontId="7" fillId="0" borderId="17" xfId="44" applyNumberFormat="1" applyFont="1" applyFill="1" applyBorder="1" applyAlignment="1">
      <alignment vertical="center" wrapText="1"/>
    </xf>
    <xf numFmtId="189" fontId="7" fillId="0" borderId="18" xfId="44" applyNumberFormat="1" applyFont="1" applyFill="1" applyBorder="1" applyAlignment="1">
      <alignment vertical="center" wrapText="1"/>
    </xf>
    <xf numFmtId="0" fontId="8" fillId="0" borderId="10" xfId="75" applyNumberFormat="1" applyFont="1" applyFill="1" applyBorder="1" applyAlignment="1">
      <alignment horizontal="center" vertical="center" wrapText="1"/>
      <protection/>
    </xf>
    <xf numFmtId="9" fontId="7" fillId="0" borderId="10" xfId="79" applyFont="1" applyFill="1" applyBorder="1" applyAlignment="1">
      <alignment horizontal="center" vertical="center" wrapText="1"/>
    </xf>
    <xf numFmtId="3" fontId="8" fillId="0" borderId="10" xfId="75" applyNumberFormat="1" applyFont="1" applyFill="1" applyBorder="1" applyAlignment="1">
      <alignment vertical="center" wrapText="1"/>
      <protection/>
    </xf>
    <xf numFmtId="9" fontId="8" fillId="0" borderId="10" xfId="44"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189" fontId="7" fillId="0" borderId="10" xfId="44" applyNumberFormat="1" applyFont="1" applyFill="1" applyBorder="1" applyAlignment="1">
      <alignment vertical="center" wrapText="1"/>
    </xf>
    <xf numFmtId="1" fontId="13" fillId="0" borderId="0" xfId="75" applyNumberFormat="1" applyFont="1" applyFill="1" applyAlignment="1">
      <alignment vertical="center"/>
      <protection/>
    </xf>
    <xf numFmtId="1" fontId="16" fillId="0" borderId="0" xfId="75" applyNumberFormat="1" applyFont="1" applyFill="1" applyAlignment="1">
      <alignment vertical="center"/>
      <protection/>
    </xf>
    <xf numFmtId="1" fontId="25" fillId="0" borderId="0" xfId="75" applyNumberFormat="1" applyFont="1" applyFill="1" applyAlignment="1">
      <alignment vertical="center"/>
      <protection/>
    </xf>
    <xf numFmtId="3" fontId="16" fillId="0" borderId="0" xfId="75" applyNumberFormat="1" applyFont="1" applyBorder="1" applyAlignment="1">
      <alignment horizontal="center" vertical="center" wrapText="1"/>
      <protection/>
    </xf>
    <xf numFmtId="3" fontId="16" fillId="0" borderId="10" xfId="75" applyNumberFormat="1" applyFont="1" applyFill="1" applyBorder="1" applyAlignment="1" quotePrefix="1">
      <alignment horizontal="center" vertical="center" wrapText="1"/>
      <protection/>
    </xf>
    <xf numFmtId="3" fontId="16" fillId="0" borderId="0" xfId="75" applyNumberFormat="1" applyFont="1" applyFill="1" applyBorder="1" applyAlignment="1">
      <alignment vertical="center" wrapText="1"/>
      <protection/>
    </xf>
    <xf numFmtId="3" fontId="11" fillId="32" borderId="19" xfId="75" applyNumberFormat="1" applyFont="1" applyFill="1" applyBorder="1" applyAlignment="1">
      <alignment vertical="center"/>
      <protection/>
    </xf>
    <xf numFmtId="3" fontId="8" fillId="32" borderId="0" xfId="75" applyNumberFormat="1" applyFont="1" applyFill="1" applyBorder="1" applyAlignment="1">
      <alignment vertical="center" wrapText="1"/>
      <protection/>
    </xf>
    <xf numFmtId="1" fontId="16" fillId="0" borderId="0" xfId="75" applyNumberFormat="1" applyFont="1" applyFill="1" applyAlignment="1">
      <alignment horizontal="center" vertical="center"/>
      <protection/>
    </xf>
    <xf numFmtId="1" fontId="16" fillId="0" borderId="0" xfId="75" applyNumberFormat="1" applyFont="1" applyFill="1" applyAlignment="1">
      <alignment vertical="center" wrapText="1"/>
      <protection/>
    </xf>
    <xf numFmtId="1" fontId="16" fillId="0" borderId="0" xfId="75" applyNumberFormat="1" applyFont="1" applyFill="1" applyAlignment="1">
      <alignment horizontal="center" vertical="center" wrapText="1"/>
      <protection/>
    </xf>
    <xf numFmtId="1" fontId="16" fillId="0" borderId="0" xfId="75" applyNumberFormat="1" applyFont="1" applyFill="1" applyAlignment="1">
      <alignment horizontal="right" vertical="center"/>
      <protection/>
    </xf>
    <xf numFmtId="3" fontId="8" fillId="32" borderId="10" xfId="75" applyNumberFormat="1" applyFont="1" applyFill="1" applyBorder="1" applyAlignment="1" quotePrefix="1">
      <alignment vertical="center" wrapText="1"/>
      <protection/>
    </xf>
    <xf numFmtId="3" fontId="76" fillId="32" borderId="10" xfId="75" applyNumberFormat="1" applyFont="1" applyFill="1" applyBorder="1" applyAlignment="1" quotePrefix="1">
      <alignment vertical="center" wrapText="1"/>
      <protection/>
    </xf>
    <xf numFmtId="3" fontId="8" fillId="32" borderId="10" xfId="75" applyNumberFormat="1" applyFont="1" applyFill="1" applyBorder="1" applyAlignment="1" quotePrefix="1">
      <alignment horizontal="right" vertical="center" wrapText="1"/>
      <protection/>
    </xf>
    <xf numFmtId="3" fontId="10" fillId="32" borderId="10" xfId="75" applyNumberFormat="1" applyFont="1" applyFill="1" applyBorder="1" applyAlignment="1" quotePrefix="1">
      <alignment horizontal="center" vertical="center" wrapText="1"/>
      <protection/>
    </xf>
    <xf numFmtId="3" fontId="10" fillId="32" borderId="10" xfId="75" applyNumberFormat="1" applyFont="1" applyFill="1" applyBorder="1" applyAlignment="1">
      <alignment horizontal="center" vertical="center" wrapText="1"/>
      <protection/>
    </xf>
    <xf numFmtId="49" fontId="11" fillId="32" borderId="10" xfId="75" applyNumberFormat="1" applyFont="1" applyFill="1" applyBorder="1" applyAlignment="1">
      <alignment horizontal="center" vertical="center"/>
      <protection/>
    </xf>
    <xf numFmtId="1" fontId="11" fillId="32" borderId="10" xfId="75" applyNumberFormat="1" applyFont="1" applyFill="1" applyBorder="1" applyAlignment="1">
      <alignment horizontal="center" vertical="center" wrapText="1"/>
      <protection/>
    </xf>
    <xf numFmtId="1" fontId="9" fillId="32" borderId="10" xfId="75" applyNumberFormat="1" applyFont="1" applyFill="1" applyBorder="1" applyAlignment="1">
      <alignment horizontal="center" vertical="center" wrapText="1"/>
      <protection/>
    </xf>
    <xf numFmtId="3" fontId="11" fillId="32" borderId="10" xfId="75" applyNumberFormat="1" applyFont="1" applyFill="1" applyBorder="1" applyAlignment="1">
      <alignment vertical="center"/>
      <protection/>
    </xf>
    <xf numFmtId="3" fontId="11" fillId="32" borderId="10" xfId="75" applyNumberFormat="1" applyFont="1" applyFill="1" applyBorder="1" applyAlignment="1">
      <alignment horizontal="center" vertical="center"/>
      <protection/>
    </xf>
    <xf numFmtId="3" fontId="11" fillId="32" borderId="10" xfId="75" applyNumberFormat="1" applyFont="1" applyFill="1" applyBorder="1" applyAlignment="1">
      <alignment horizontal="right" vertical="center"/>
      <protection/>
    </xf>
    <xf numFmtId="3" fontId="73" fillId="32" borderId="10" xfId="75" applyNumberFormat="1" applyFont="1" applyFill="1" applyBorder="1" applyAlignment="1">
      <alignment vertical="center"/>
      <protection/>
    </xf>
    <xf numFmtId="1" fontId="9" fillId="32" borderId="10" xfId="75" applyNumberFormat="1" applyFont="1" applyFill="1" applyBorder="1" applyAlignment="1">
      <alignment vertical="center"/>
      <protection/>
    </xf>
    <xf numFmtId="1" fontId="11" fillId="32" borderId="10" xfId="75" applyNumberFormat="1" applyFont="1" applyFill="1" applyBorder="1" applyAlignment="1">
      <alignment vertical="center"/>
      <protection/>
    </xf>
    <xf numFmtId="49" fontId="8" fillId="32" borderId="10" xfId="75" applyNumberFormat="1" applyFont="1" applyFill="1" applyBorder="1" applyAlignment="1">
      <alignment horizontal="center" vertical="center"/>
      <protection/>
    </xf>
    <xf numFmtId="1" fontId="8" fillId="32" borderId="10" xfId="75" applyNumberFormat="1" applyFont="1" applyFill="1" applyBorder="1" applyAlignment="1">
      <alignment horizontal="center" vertical="center" wrapText="1"/>
      <protection/>
    </xf>
    <xf numFmtId="1" fontId="7" fillId="32" borderId="10" xfId="75" applyNumberFormat="1" applyFont="1" applyFill="1" applyBorder="1" applyAlignment="1">
      <alignment horizontal="center" vertical="center" wrapText="1"/>
      <protection/>
    </xf>
    <xf numFmtId="3" fontId="7" fillId="32" borderId="10" xfId="75" applyNumberFormat="1" applyFont="1" applyFill="1" applyBorder="1" applyAlignment="1">
      <alignment horizontal="center" vertical="center"/>
      <protection/>
    </xf>
    <xf numFmtId="3" fontId="72" fillId="32" borderId="10" xfId="75" applyNumberFormat="1" applyFont="1" applyFill="1" applyBorder="1" applyAlignment="1">
      <alignment vertical="center"/>
      <protection/>
    </xf>
    <xf numFmtId="1" fontId="7" fillId="32" borderId="10" xfId="75" applyNumberFormat="1" applyFont="1" applyFill="1" applyBorder="1" applyAlignment="1">
      <alignment vertical="center"/>
      <protection/>
    </xf>
    <xf numFmtId="1" fontId="7" fillId="32" borderId="10" xfId="75" applyNumberFormat="1" applyFont="1" applyFill="1" applyBorder="1" applyAlignment="1">
      <alignment vertical="center" wrapText="1"/>
      <protection/>
    </xf>
    <xf numFmtId="49" fontId="72" fillId="32" borderId="10" xfId="0" applyNumberFormat="1" applyFont="1" applyFill="1" applyBorder="1" applyAlignment="1">
      <alignment horizontal="center" vertical="center" wrapText="1"/>
    </xf>
    <xf numFmtId="2" fontId="72" fillId="32" borderId="10" xfId="0" applyNumberFormat="1" applyFont="1" applyFill="1" applyBorder="1" applyAlignment="1">
      <alignment horizontal="center" vertical="center" wrapText="1"/>
    </xf>
    <xf numFmtId="3" fontId="72" fillId="32" borderId="10" xfId="0" applyNumberFormat="1" applyFont="1" applyFill="1" applyBorder="1" applyAlignment="1">
      <alignment vertical="center" wrapText="1"/>
    </xf>
    <xf numFmtId="3" fontId="77" fillId="32" borderId="10" xfId="0" applyNumberFormat="1" applyFont="1" applyFill="1" applyBorder="1" applyAlignment="1">
      <alignment horizontal="center" vertical="center" wrapText="1"/>
    </xf>
    <xf numFmtId="3" fontId="77" fillId="32" borderId="10" xfId="0" applyNumberFormat="1" applyFont="1" applyFill="1" applyBorder="1" applyAlignment="1">
      <alignment vertical="center" wrapText="1"/>
    </xf>
    <xf numFmtId="3" fontId="7" fillId="32" borderId="10" xfId="0" applyNumberFormat="1" applyFont="1" applyFill="1" applyBorder="1" applyAlignment="1">
      <alignment vertical="center" wrapText="1"/>
    </xf>
    <xf numFmtId="3" fontId="78" fillId="32" borderId="10" xfId="75" applyNumberFormat="1" applyFont="1" applyFill="1" applyBorder="1" applyAlignment="1">
      <alignment vertical="center"/>
      <protection/>
    </xf>
    <xf numFmtId="3" fontId="7" fillId="32" borderId="10" xfId="46" applyNumberFormat="1" applyFont="1" applyFill="1" applyBorder="1" applyAlignment="1">
      <alignment horizontal="right" vertical="center"/>
    </xf>
    <xf numFmtId="49" fontId="73" fillId="32" borderId="10" xfId="75" applyNumberFormat="1" applyFont="1" applyFill="1" applyBorder="1" applyAlignment="1">
      <alignment horizontal="center" vertical="center"/>
      <protection/>
    </xf>
    <xf numFmtId="1" fontId="72" fillId="32" borderId="10" xfId="75" applyNumberFormat="1" applyFont="1" applyFill="1" applyBorder="1" applyAlignment="1">
      <alignment vertical="center" wrapText="1"/>
      <protection/>
    </xf>
    <xf numFmtId="1" fontId="72" fillId="32" borderId="10" xfId="75" applyNumberFormat="1" applyFont="1" applyFill="1" applyBorder="1" applyAlignment="1">
      <alignment horizontal="center" vertical="center" wrapText="1"/>
      <protection/>
    </xf>
    <xf numFmtId="1" fontId="72" fillId="32" borderId="10" xfId="75" applyNumberFormat="1" applyFont="1" applyFill="1" applyBorder="1" applyAlignment="1">
      <alignment vertical="center"/>
      <protection/>
    </xf>
    <xf numFmtId="49" fontId="77" fillId="32" borderId="10" xfId="0" applyNumberFormat="1" applyFont="1" applyFill="1" applyBorder="1" applyAlignment="1">
      <alignment horizontal="center" vertical="center" wrapText="1"/>
    </xf>
    <xf numFmtId="189" fontId="8" fillId="0" borderId="14" xfId="44" applyNumberFormat="1" applyFont="1" applyFill="1" applyBorder="1" applyAlignment="1">
      <alignment vertical="center" wrapText="1"/>
    </xf>
    <xf numFmtId="189" fontId="8" fillId="0" borderId="16" xfId="44" applyNumberFormat="1" applyFont="1" applyFill="1" applyBorder="1" applyAlignment="1">
      <alignment vertical="center" wrapText="1"/>
    </xf>
    <xf numFmtId="3" fontId="7" fillId="32" borderId="12" xfId="75" applyNumberFormat="1" applyFont="1" applyFill="1" applyBorder="1" applyAlignment="1" quotePrefix="1">
      <alignment horizontal="center" vertical="center" wrapText="1"/>
      <protection/>
    </xf>
    <xf numFmtId="3" fontId="8" fillId="32" borderId="12" xfId="75" applyNumberFormat="1" applyFont="1" applyFill="1" applyBorder="1" applyAlignment="1">
      <alignment horizontal="center" vertical="center" wrapText="1"/>
      <protection/>
    </xf>
    <xf numFmtId="3" fontId="8" fillId="32" borderId="12" xfId="75" applyNumberFormat="1" applyFont="1" applyFill="1" applyBorder="1" applyAlignment="1" quotePrefix="1">
      <alignment vertical="center" wrapText="1"/>
      <protection/>
    </xf>
    <xf numFmtId="3" fontId="76" fillId="32" borderId="12" xfId="75" applyNumberFormat="1" applyFont="1" applyFill="1" applyBorder="1" applyAlignment="1" quotePrefix="1">
      <alignment vertical="center" wrapText="1"/>
      <protection/>
    </xf>
    <xf numFmtId="3" fontId="8" fillId="32" borderId="12" xfId="75" applyNumberFormat="1" applyFont="1" applyFill="1" applyBorder="1" applyAlignment="1" quotePrefix="1">
      <alignment horizontal="center" vertical="center" wrapText="1"/>
      <protection/>
    </xf>
    <xf numFmtId="3" fontId="8" fillId="32" borderId="12" xfId="75" applyNumberFormat="1" applyFont="1" applyFill="1" applyBorder="1" applyAlignment="1" quotePrefix="1">
      <alignment horizontal="right" vertical="center" wrapText="1"/>
      <protection/>
    </xf>
    <xf numFmtId="3" fontId="10" fillId="32" borderId="19" xfId="75" applyNumberFormat="1" applyFont="1" applyFill="1" applyBorder="1" applyAlignment="1" quotePrefix="1">
      <alignment horizontal="center" vertical="center" wrapText="1"/>
      <protection/>
    </xf>
    <xf numFmtId="3" fontId="10" fillId="32" borderId="20" xfId="75" applyNumberFormat="1" applyFont="1" applyFill="1" applyBorder="1" applyAlignment="1">
      <alignment horizontal="center" vertical="center" wrapText="1"/>
      <protection/>
    </xf>
    <xf numFmtId="3" fontId="8" fillId="32" borderId="19" xfId="75" applyNumberFormat="1" applyFont="1" applyFill="1" applyBorder="1" applyAlignment="1" quotePrefix="1">
      <alignment horizontal="center" vertical="center" wrapText="1"/>
      <protection/>
    </xf>
    <xf numFmtId="3" fontId="8" fillId="32" borderId="19" xfId="75" applyNumberFormat="1" applyFont="1" applyFill="1" applyBorder="1" applyAlignment="1" quotePrefix="1">
      <alignment vertical="center" wrapText="1"/>
      <protection/>
    </xf>
    <xf numFmtId="3" fontId="76" fillId="32" borderId="19" xfId="75" applyNumberFormat="1" applyFont="1" applyFill="1" applyBorder="1" applyAlignment="1" quotePrefix="1">
      <alignment vertical="center" wrapText="1"/>
      <protection/>
    </xf>
    <xf numFmtId="49" fontId="11" fillId="32" borderId="19" xfId="75" applyNumberFormat="1" applyFont="1" applyFill="1" applyBorder="1" applyAlignment="1">
      <alignment horizontal="center" vertical="center"/>
      <protection/>
    </xf>
    <xf numFmtId="1" fontId="11" fillId="32" borderId="19" xfId="75" applyNumberFormat="1" applyFont="1" applyFill="1" applyBorder="1" applyAlignment="1">
      <alignment horizontal="center" vertical="center" wrapText="1"/>
      <protection/>
    </xf>
    <xf numFmtId="1" fontId="9" fillId="32" borderId="19" xfId="75" applyNumberFormat="1" applyFont="1" applyFill="1" applyBorder="1" applyAlignment="1">
      <alignment horizontal="center" vertical="center" wrapText="1"/>
      <protection/>
    </xf>
    <xf numFmtId="3" fontId="11" fillId="32" borderId="19" xfId="75" applyNumberFormat="1" applyFont="1" applyFill="1" applyBorder="1" applyAlignment="1">
      <alignment horizontal="center" vertical="center"/>
      <protection/>
    </xf>
    <xf numFmtId="3" fontId="11" fillId="32" borderId="19" xfId="75" applyNumberFormat="1" applyFont="1" applyFill="1" applyBorder="1" applyAlignment="1">
      <alignment horizontal="right" vertical="center"/>
      <protection/>
    </xf>
    <xf numFmtId="3" fontId="73" fillId="32" borderId="19" xfId="75" applyNumberFormat="1" applyFont="1" applyFill="1" applyBorder="1" applyAlignment="1">
      <alignment vertical="center"/>
      <protection/>
    </xf>
    <xf numFmtId="1" fontId="9" fillId="32" borderId="19" xfId="75" applyNumberFormat="1" applyFont="1" applyFill="1" applyBorder="1" applyAlignment="1">
      <alignment vertical="center"/>
      <protection/>
    </xf>
    <xf numFmtId="3" fontId="73" fillId="32" borderId="19" xfId="75" applyNumberFormat="1" applyFont="1" applyFill="1" applyBorder="1" applyAlignment="1">
      <alignment horizontal="center" vertical="center"/>
      <protection/>
    </xf>
    <xf numFmtId="1" fontId="11" fillId="32" borderId="19" xfId="75" applyNumberFormat="1" applyFont="1" applyFill="1" applyBorder="1" applyAlignment="1">
      <alignment vertical="center"/>
      <protection/>
    </xf>
    <xf numFmtId="49" fontId="8" fillId="32" borderId="19" xfId="75" applyNumberFormat="1" applyFont="1" applyFill="1" applyBorder="1" applyAlignment="1">
      <alignment horizontal="center" vertical="center"/>
      <protection/>
    </xf>
    <xf numFmtId="1" fontId="8" fillId="32" borderId="19" xfId="75" applyNumberFormat="1" applyFont="1" applyFill="1" applyBorder="1" applyAlignment="1">
      <alignment horizontal="center" vertical="center" wrapText="1"/>
      <protection/>
    </xf>
    <xf numFmtId="1" fontId="7" fillId="32" borderId="19" xfId="75" applyNumberFormat="1" applyFont="1" applyFill="1" applyBorder="1" applyAlignment="1">
      <alignment horizontal="center" vertical="center" wrapText="1"/>
      <protection/>
    </xf>
    <xf numFmtId="3" fontId="7" fillId="32" borderId="19" xfId="75" applyNumberFormat="1" applyFont="1" applyFill="1" applyBorder="1" applyAlignment="1">
      <alignment vertical="center"/>
      <protection/>
    </xf>
    <xf numFmtId="3" fontId="7" fillId="32" borderId="19" xfId="75" applyNumberFormat="1" applyFont="1" applyFill="1" applyBorder="1" applyAlignment="1">
      <alignment horizontal="center" vertical="center"/>
      <protection/>
    </xf>
    <xf numFmtId="3" fontId="72" fillId="32" borderId="19" xfId="75" applyNumberFormat="1" applyFont="1" applyFill="1" applyBorder="1" applyAlignment="1">
      <alignment vertical="center"/>
      <protection/>
    </xf>
    <xf numFmtId="1" fontId="7" fillId="32" borderId="19" xfId="75" applyNumberFormat="1" applyFont="1" applyFill="1" applyBorder="1" applyAlignment="1">
      <alignment vertical="center"/>
      <protection/>
    </xf>
    <xf numFmtId="1" fontId="7" fillId="32" borderId="19" xfId="75" applyNumberFormat="1" applyFont="1" applyFill="1" applyBorder="1" applyAlignment="1">
      <alignment vertical="center" wrapText="1"/>
      <protection/>
    </xf>
    <xf numFmtId="49" fontId="72" fillId="32" borderId="19" xfId="0" applyNumberFormat="1" applyFont="1" applyFill="1" applyBorder="1" applyAlignment="1">
      <alignment horizontal="center" vertical="center" wrapText="1"/>
    </xf>
    <xf numFmtId="2" fontId="72" fillId="32" borderId="19" xfId="0" applyNumberFormat="1" applyFont="1" applyFill="1" applyBorder="1" applyAlignment="1">
      <alignment horizontal="center" vertical="center" wrapText="1"/>
    </xf>
    <xf numFmtId="3" fontId="72" fillId="32" borderId="19" xfId="0" applyNumberFormat="1" applyFont="1" applyFill="1" applyBorder="1" applyAlignment="1">
      <alignment vertical="center" wrapText="1"/>
    </xf>
    <xf numFmtId="3" fontId="77" fillId="32" borderId="19" xfId="0" applyNumberFormat="1" applyFont="1" applyFill="1" applyBorder="1" applyAlignment="1">
      <alignment horizontal="center" vertical="center" wrapText="1"/>
    </xf>
    <xf numFmtId="3" fontId="77" fillId="32" borderId="19" xfId="0" applyNumberFormat="1" applyFont="1" applyFill="1" applyBorder="1" applyAlignment="1">
      <alignment vertical="center" wrapText="1"/>
    </xf>
    <xf numFmtId="3" fontId="7" fillId="32" borderId="19" xfId="0" applyNumberFormat="1" applyFont="1" applyFill="1" applyBorder="1" applyAlignment="1">
      <alignment vertical="center" wrapText="1"/>
    </xf>
    <xf numFmtId="3" fontId="78" fillId="32" borderId="19" xfId="75" applyNumberFormat="1" applyFont="1" applyFill="1" applyBorder="1" applyAlignment="1">
      <alignment vertical="center"/>
      <protection/>
    </xf>
    <xf numFmtId="3" fontId="72" fillId="32" borderId="19" xfId="75" applyNumberFormat="1" applyFont="1" applyFill="1" applyBorder="1" applyAlignment="1">
      <alignment horizontal="center" vertical="center" wrapText="1"/>
      <protection/>
    </xf>
    <xf numFmtId="3" fontId="7" fillId="32" borderId="19" xfId="46" applyNumberFormat="1" applyFont="1" applyFill="1" applyBorder="1" applyAlignment="1">
      <alignment horizontal="right" vertical="center"/>
    </xf>
    <xf numFmtId="3" fontId="7" fillId="32" borderId="19" xfId="75" applyNumberFormat="1" applyFont="1" applyFill="1" applyBorder="1" applyAlignment="1">
      <alignment horizontal="right" vertical="center"/>
      <protection/>
    </xf>
    <xf numFmtId="3" fontId="7" fillId="32" borderId="19" xfId="75" applyNumberFormat="1" applyFont="1" applyFill="1" applyBorder="1" applyAlignment="1">
      <alignment horizontal="center" vertical="center" wrapText="1"/>
      <protection/>
    </xf>
    <xf numFmtId="49" fontId="73" fillId="32" borderId="19" xfId="75" applyNumberFormat="1" applyFont="1" applyFill="1" applyBorder="1" applyAlignment="1">
      <alignment horizontal="center" vertical="center"/>
      <protection/>
    </xf>
    <xf numFmtId="1" fontId="72" fillId="32" borderId="19" xfId="75" applyNumberFormat="1" applyFont="1" applyFill="1" applyBorder="1" applyAlignment="1">
      <alignment vertical="center" wrapText="1"/>
      <protection/>
    </xf>
    <xf numFmtId="1" fontId="72" fillId="32" borderId="19" xfId="75" applyNumberFormat="1" applyFont="1" applyFill="1" applyBorder="1" applyAlignment="1">
      <alignment horizontal="center" vertical="center" wrapText="1"/>
      <protection/>
    </xf>
    <xf numFmtId="1" fontId="72" fillId="32" borderId="19" xfId="75" applyNumberFormat="1" applyFont="1" applyFill="1" applyBorder="1" applyAlignment="1">
      <alignment vertical="center"/>
      <protection/>
    </xf>
    <xf numFmtId="49" fontId="11" fillId="32" borderId="21" xfId="75" applyNumberFormat="1" applyFont="1" applyFill="1" applyBorder="1" applyAlignment="1">
      <alignment horizontal="center" vertical="center"/>
      <protection/>
    </xf>
    <xf numFmtId="1" fontId="7" fillId="32" borderId="21" xfId="75" applyNumberFormat="1" applyFont="1" applyFill="1" applyBorder="1" applyAlignment="1">
      <alignment vertical="center" wrapText="1"/>
      <protection/>
    </xf>
    <xf numFmtId="1" fontId="7" fillId="32" borderId="21" xfId="75" applyNumberFormat="1" applyFont="1" applyFill="1" applyBorder="1" applyAlignment="1">
      <alignment horizontal="center" vertical="center" wrapText="1"/>
      <protection/>
    </xf>
    <xf numFmtId="49" fontId="77" fillId="32" borderId="21" xfId="0" applyNumberFormat="1" applyFont="1" applyFill="1" applyBorder="1" applyAlignment="1">
      <alignment horizontal="center" vertical="center" wrapText="1"/>
    </xf>
    <xf numFmtId="2" fontId="72" fillId="32" borderId="21" xfId="0" applyNumberFormat="1" applyFont="1" applyFill="1" applyBorder="1" applyAlignment="1">
      <alignment horizontal="center" vertical="center" wrapText="1"/>
    </xf>
    <xf numFmtId="3" fontId="72" fillId="32" borderId="21" xfId="0" applyNumberFormat="1" applyFont="1" applyFill="1" applyBorder="1" applyAlignment="1">
      <alignment vertical="center" wrapText="1"/>
    </xf>
    <xf numFmtId="3" fontId="11" fillId="32" borderId="21" xfId="75" applyNumberFormat="1" applyFont="1" applyFill="1" applyBorder="1" applyAlignment="1">
      <alignment vertical="center"/>
      <protection/>
    </xf>
    <xf numFmtId="3" fontId="72" fillId="32" borderId="21" xfId="0" applyNumberFormat="1" applyFont="1" applyFill="1" applyBorder="1" applyAlignment="1">
      <alignment horizontal="center" vertical="center" wrapText="1"/>
    </xf>
    <xf numFmtId="3" fontId="7" fillId="32" borderId="21" xfId="75" applyNumberFormat="1" applyFont="1" applyFill="1" applyBorder="1" applyAlignment="1">
      <alignment vertical="center"/>
      <protection/>
    </xf>
    <xf numFmtId="3" fontId="72" fillId="32" borderId="21" xfId="75" applyNumberFormat="1" applyFont="1" applyFill="1" applyBorder="1" applyAlignment="1">
      <alignment vertical="center"/>
      <protection/>
    </xf>
    <xf numFmtId="3" fontId="73" fillId="32" borderId="21" xfId="75" applyNumberFormat="1" applyFont="1" applyFill="1" applyBorder="1" applyAlignment="1">
      <alignment vertical="center"/>
      <protection/>
    </xf>
    <xf numFmtId="3" fontId="7" fillId="32" borderId="21" xfId="75" applyNumberFormat="1" applyFont="1" applyFill="1" applyBorder="1" applyAlignment="1">
      <alignment vertical="center" wrapText="1"/>
      <protection/>
    </xf>
    <xf numFmtId="3" fontId="7" fillId="32" borderId="21" xfId="75" applyNumberFormat="1" applyFont="1" applyFill="1" applyBorder="1" applyAlignment="1">
      <alignment horizontal="center" vertical="center" wrapText="1"/>
      <protection/>
    </xf>
    <xf numFmtId="1" fontId="7" fillId="32" borderId="21" xfId="75" applyNumberFormat="1" applyFont="1" applyFill="1" applyBorder="1" applyAlignment="1">
      <alignment vertical="center"/>
      <protection/>
    </xf>
    <xf numFmtId="210" fontId="7" fillId="0" borderId="10" xfId="44" applyNumberFormat="1" applyFont="1" applyFill="1" applyBorder="1" applyAlignment="1">
      <alignment horizontal="right" vertical="center" wrapText="1"/>
    </xf>
    <xf numFmtId="0" fontId="7" fillId="0" borderId="10" xfId="0" applyFont="1" applyFill="1" applyBorder="1" applyAlignment="1" quotePrefix="1">
      <alignment horizontal="left" vertical="center" wrapText="1"/>
    </xf>
    <xf numFmtId="3" fontId="7" fillId="0" borderId="0" xfId="0" applyNumberFormat="1" applyFont="1" applyFill="1" applyAlignment="1">
      <alignment horizontal="right" vertical="center" wrapText="1"/>
    </xf>
    <xf numFmtId="171" fontId="7" fillId="0" borderId="10" xfId="44" applyNumberFormat="1" applyFont="1" applyFill="1" applyBorder="1" applyAlignment="1">
      <alignment horizontal="right" vertical="center" wrapText="1"/>
    </xf>
    <xf numFmtId="189" fontId="8" fillId="0" borderId="10" xfId="44" applyNumberFormat="1" applyFont="1" applyFill="1" applyBorder="1" applyAlignment="1">
      <alignment vertical="center" wrapText="1"/>
    </xf>
    <xf numFmtId="3" fontId="7" fillId="0" borderId="11" xfId="0" applyNumberFormat="1" applyFont="1" applyFill="1" applyBorder="1" applyAlignment="1">
      <alignment horizontal="center" vertical="center" wrapText="1"/>
    </xf>
    <xf numFmtId="189" fontId="7" fillId="0" borderId="11" xfId="44" applyNumberFormat="1" applyFont="1" applyFill="1" applyBorder="1" applyAlignment="1">
      <alignment horizontal="center" vertical="center" wrapText="1"/>
    </xf>
    <xf numFmtId="188" fontId="7" fillId="0" borderId="10" xfId="0" applyNumberFormat="1" applyFont="1" applyFill="1" applyBorder="1" applyAlignment="1">
      <alignment horizontal="right" vertical="center" wrapText="1"/>
    </xf>
    <xf numFmtId="188" fontId="7" fillId="0" borderId="10" xfId="44" applyNumberFormat="1" applyFont="1" applyFill="1" applyBorder="1" applyAlignment="1">
      <alignment horizontal="right" vertical="center" wrapText="1"/>
    </xf>
    <xf numFmtId="171" fontId="7" fillId="0" borderId="0" xfId="0" applyNumberFormat="1" applyFont="1" applyFill="1" applyAlignment="1">
      <alignment horizontal="right" vertical="center" wrapText="1"/>
    </xf>
    <xf numFmtId="3" fontId="9" fillId="0" borderId="0" xfId="0" applyNumberFormat="1" applyFont="1" applyFill="1" applyAlignment="1">
      <alignment horizontal="right" vertical="center" wrapText="1"/>
    </xf>
    <xf numFmtId="3" fontId="7" fillId="0" borderId="11" xfId="0" applyNumberFormat="1" applyFont="1" applyFill="1" applyBorder="1" applyAlignment="1">
      <alignment horizontal="left" vertical="center" wrapText="1"/>
    </xf>
    <xf numFmtId="0" fontId="7" fillId="0" borderId="11" xfId="0" applyNumberFormat="1" applyFont="1" applyFill="1" applyBorder="1" applyAlignment="1">
      <alignment horizontal="center" vertical="center" wrapText="1"/>
    </xf>
    <xf numFmtId="189" fontId="7" fillId="0" borderId="11" xfId="44" applyNumberFormat="1" applyFont="1" applyFill="1" applyBorder="1" applyAlignment="1">
      <alignment horizontal="right" vertical="center" wrapText="1"/>
    </xf>
    <xf numFmtId="3" fontId="7" fillId="0" borderId="11" xfId="44" applyNumberFormat="1" applyFont="1" applyFill="1" applyBorder="1" applyAlignment="1">
      <alignment horizontal="right" vertical="center" wrapText="1"/>
    </xf>
    <xf numFmtId="171" fontId="7" fillId="0" borderId="11" xfId="44" applyNumberFormat="1" applyFont="1" applyFill="1" applyBorder="1" applyAlignment="1">
      <alignment horizontal="right" vertical="center" wrapText="1"/>
    </xf>
    <xf numFmtId="0" fontId="13" fillId="0" borderId="0" xfId="0" applyFont="1" applyFill="1" applyAlignment="1">
      <alignment horizontal="center" vertical="center" wrapText="1"/>
    </xf>
    <xf numFmtId="189" fontId="8" fillId="0" borderId="10" xfId="44" applyNumberFormat="1" applyFont="1" applyFill="1" applyBorder="1" applyAlignment="1">
      <alignment horizontal="center" vertical="center" wrapText="1"/>
    </xf>
    <xf numFmtId="189" fontId="8" fillId="0" borderId="22" xfId="44" applyNumberFormat="1" applyFont="1" applyFill="1" applyBorder="1" applyAlignment="1">
      <alignment horizontal="center" vertical="center" wrapText="1"/>
    </xf>
    <xf numFmtId="189" fontId="8" fillId="0" borderId="23" xfId="44" applyNumberFormat="1" applyFont="1" applyFill="1" applyBorder="1" applyAlignment="1">
      <alignment horizontal="center" vertical="center" wrapText="1"/>
    </xf>
    <xf numFmtId="189" fontId="8" fillId="0" borderId="11" xfId="44" applyNumberFormat="1" applyFont="1" applyFill="1" applyBorder="1" applyAlignment="1">
      <alignment horizontal="center" vertical="center" wrapText="1"/>
    </xf>
    <xf numFmtId="189" fontId="8" fillId="0" borderId="24" xfId="44" applyNumberFormat="1" applyFont="1" applyFill="1" applyBorder="1" applyAlignment="1">
      <alignment horizontal="center" vertical="center" wrapText="1"/>
    </xf>
    <xf numFmtId="189" fontId="8" fillId="0" borderId="13" xfId="44"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9" fillId="0" borderId="18" xfId="0" applyFont="1" applyFill="1" applyBorder="1" applyAlignment="1">
      <alignment horizontal="right" vertical="center" wrapText="1"/>
    </xf>
    <xf numFmtId="3" fontId="8" fillId="0" borderId="10" xfId="75" applyNumberFormat="1" applyFont="1" applyFill="1" applyBorder="1" applyAlignment="1">
      <alignment horizontal="center" vertical="center" wrapText="1"/>
      <protection/>
    </xf>
    <xf numFmtId="0" fontId="13" fillId="0" borderId="0" xfId="0" applyFont="1" applyFill="1" applyAlignment="1">
      <alignment horizontal="center" vertical="center" wrapText="1"/>
    </xf>
    <xf numFmtId="189" fontId="8" fillId="0" borderId="15" xfId="44" applyNumberFormat="1" applyFont="1" applyFill="1" applyBorder="1" applyAlignment="1">
      <alignment horizontal="center" vertical="center" wrapText="1"/>
    </xf>
    <xf numFmtId="189" fontId="8" fillId="0" borderId="14" xfId="44" applyNumberFormat="1" applyFont="1" applyFill="1" applyBorder="1" applyAlignment="1">
      <alignment horizontal="center" vertical="center" wrapText="1"/>
    </xf>
    <xf numFmtId="189" fontId="8" fillId="0" borderId="18" xfId="44" applyNumberFormat="1" applyFont="1" applyFill="1" applyBorder="1" applyAlignment="1">
      <alignment horizontal="center" vertical="center" wrapText="1"/>
    </xf>
    <xf numFmtId="189" fontId="8" fillId="0" borderId="16" xfId="44" applyNumberFormat="1" applyFont="1" applyFill="1" applyBorder="1" applyAlignment="1">
      <alignment horizontal="center" vertical="center" wrapText="1"/>
    </xf>
    <xf numFmtId="0" fontId="8" fillId="0" borderId="10" xfId="75" applyNumberFormat="1" applyFont="1" applyFill="1" applyBorder="1" applyAlignment="1">
      <alignment horizontal="center" vertical="center" wrapText="1"/>
      <protection/>
    </xf>
    <xf numFmtId="189" fontId="7" fillId="0" borderId="11" xfId="44" applyNumberFormat="1" applyFont="1" applyFill="1" applyBorder="1" applyAlignment="1">
      <alignment horizontal="center" vertical="center" wrapText="1"/>
    </xf>
    <xf numFmtId="189" fontId="7" fillId="0" borderId="24" xfId="44" applyNumberFormat="1" applyFont="1" applyFill="1" applyBorder="1" applyAlignment="1">
      <alignment horizontal="center" vertical="center" wrapText="1"/>
    </xf>
    <xf numFmtId="189" fontId="7" fillId="0" borderId="13" xfId="44" applyNumberFormat="1" applyFont="1" applyFill="1" applyBorder="1" applyAlignment="1">
      <alignment horizontal="center" vertical="center" wrapText="1"/>
    </xf>
    <xf numFmtId="0" fontId="8" fillId="0" borderId="0" xfId="0" applyFont="1" applyFill="1" applyAlignment="1">
      <alignment horizontal="center" vertical="center" wrapText="1"/>
    </xf>
    <xf numFmtId="189" fontId="7" fillId="0" borderId="10" xfId="44" applyNumberFormat="1" applyFont="1" applyFill="1" applyBorder="1" applyAlignment="1">
      <alignment horizontal="center" vertical="center" wrapText="1"/>
    </xf>
    <xf numFmtId="3" fontId="7" fillId="0" borderId="10" xfId="75" applyNumberFormat="1" applyFont="1" applyFill="1" applyBorder="1" applyAlignment="1">
      <alignment horizontal="center" vertical="center" wrapText="1"/>
      <protection/>
    </xf>
    <xf numFmtId="189" fontId="7" fillId="0" borderId="25" xfId="44" applyNumberFormat="1" applyFont="1" applyFill="1" applyBorder="1" applyAlignment="1">
      <alignment horizontal="center" vertical="center" wrapText="1"/>
    </xf>
    <xf numFmtId="1" fontId="23" fillId="0" borderId="0" xfId="75" applyNumberFormat="1" applyFont="1" applyFill="1" applyAlignment="1">
      <alignment horizontal="center" vertical="center" wrapText="1"/>
      <protection/>
    </xf>
    <xf numFmtId="1" fontId="24" fillId="0" borderId="18" xfId="75" applyNumberFormat="1" applyFont="1" applyFill="1" applyBorder="1" applyAlignment="1">
      <alignment horizontal="right" vertical="center"/>
      <protection/>
    </xf>
    <xf numFmtId="3" fontId="16" fillId="0" borderId="10" xfId="75" applyNumberFormat="1" applyFont="1" applyBorder="1" applyAlignment="1">
      <alignment horizontal="center" vertical="center" wrapText="1"/>
      <protection/>
    </xf>
    <xf numFmtId="3" fontId="16" fillId="0" borderId="10" xfId="75" applyNumberFormat="1" applyFont="1" applyFill="1" applyBorder="1" applyAlignment="1">
      <alignment horizontal="center" vertical="center" wrapText="1"/>
      <protection/>
    </xf>
    <xf numFmtId="3" fontId="13" fillId="0" borderId="10" xfId="75" applyNumberFormat="1" applyFont="1" applyFill="1" applyBorder="1" applyAlignment="1">
      <alignment horizontal="left" vertical="center" wrapText="1"/>
      <protection/>
    </xf>
    <xf numFmtId="3" fontId="13" fillId="0" borderId="10" xfId="75" applyNumberFormat="1" applyFont="1" applyFill="1" applyBorder="1" applyAlignment="1">
      <alignment horizontal="center" vertical="center" wrapText="1"/>
      <protection/>
    </xf>
    <xf numFmtId="1" fontId="8" fillId="32" borderId="10" xfId="75" applyNumberFormat="1" applyFont="1" applyFill="1" applyBorder="1" applyAlignment="1">
      <alignment horizontal="left" vertical="center" wrapText="1"/>
      <protection/>
    </xf>
    <xf numFmtId="1" fontId="11" fillId="32" borderId="10" xfId="75" applyNumberFormat="1" applyFont="1" applyFill="1" applyBorder="1" applyAlignment="1">
      <alignment horizontal="left" vertical="center" wrapText="1"/>
      <protection/>
    </xf>
    <xf numFmtId="1" fontId="8" fillId="32" borderId="10" xfId="75" applyNumberFormat="1" applyFont="1" applyFill="1" applyBorder="1" applyAlignment="1">
      <alignment horizontal="center" vertical="center" wrapText="1"/>
      <protection/>
    </xf>
    <xf numFmtId="1" fontId="11" fillId="32" borderId="10" xfId="75" applyNumberFormat="1" applyFont="1" applyFill="1" applyBorder="1" applyAlignment="1">
      <alignment horizontal="center" vertical="center" wrapText="1"/>
      <protection/>
    </xf>
    <xf numFmtId="3" fontId="8" fillId="32" borderId="10" xfId="75" applyNumberFormat="1" applyFont="1" applyFill="1" applyBorder="1" applyAlignment="1">
      <alignment horizontal="center" vertical="center" wrapText="1"/>
      <protection/>
    </xf>
    <xf numFmtId="3" fontId="10" fillId="32" borderId="10" xfId="75" applyNumberFormat="1" applyFont="1" applyFill="1" applyBorder="1" applyAlignment="1">
      <alignment horizontal="center" vertical="center" wrapText="1"/>
      <protection/>
    </xf>
    <xf numFmtId="0" fontId="17" fillId="0" borderId="0" xfId="40" applyFont="1" applyFill="1" applyBorder="1" applyAlignment="1">
      <alignment horizontal="center" vertical="center"/>
      <protection/>
    </xf>
    <xf numFmtId="0" fontId="17"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6" fillId="0" borderId="18" xfId="40" applyFont="1" applyFill="1" applyBorder="1" applyAlignment="1">
      <alignment horizontal="right" vertical="center" wrapText="1"/>
      <protection/>
    </xf>
    <xf numFmtId="0" fontId="3"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17" fillId="0" borderId="11" xfId="40" applyFont="1" applyFill="1" applyBorder="1" applyAlignment="1">
      <alignment horizontal="center" vertical="center" wrapText="1"/>
      <protection/>
    </xf>
    <xf numFmtId="0" fontId="17" fillId="0" borderId="24" xfId="40" applyFont="1" applyFill="1" applyBorder="1" applyAlignment="1">
      <alignment horizontal="center" vertical="center" wrapText="1"/>
      <protection/>
    </xf>
    <xf numFmtId="0" fontId="17" fillId="0" borderId="13" xfId="40" applyFont="1" applyFill="1" applyBorder="1" applyAlignment="1">
      <alignment horizontal="center" vertical="center" wrapText="1"/>
      <protection/>
    </xf>
    <xf numFmtId="189" fontId="8" fillId="32" borderId="22" xfId="44" applyNumberFormat="1" applyFont="1" applyFill="1" applyBorder="1" applyAlignment="1">
      <alignment horizontal="center" vertical="center" wrapText="1"/>
    </xf>
    <xf numFmtId="189" fontId="8" fillId="32" borderId="15" xfId="44" applyNumberFormat="1" applyFont="1" applyFill="1" applyBorder="1" applyAlignment="1">
      <alignment horizontal="center" vertical="center" wrapText="1"/>
    </xf>
    <xf numFmtId="189" fontId="8" fillId="32" borderId="14" xfId="44" applyNumberFormat="1" applyFont="1" applyFill="1" applyBorder="1" applyAlignment="1">
      <alignment horizontal="center" vertical="center" wrapText="1"/>
    </xf>
    <xf numFmtId="189" fontId="8" fillId="32" borderId="26" xfId="44" applyNumberFormat="1" applyFont="1" applyFill="1" applyBorder="1" applyAlignment="1">
      <alignment horizontal="center" vertical="center" wrapText="1"/>
    </xf>
    <xf numFmtId="189" fontId="8" fillId="32" borderId="0" xfId="44" applyNumberFormat="1" applyFont="1" applyFill="1" applyBorder="1" applyAlignment="1">
      <alignment horizontal="center" vertical="center" wrapText="1"/>
    </xf>
    <xf numFmtId="189" fontId="8" fillId="32" borderId="17" xfId="44" applyNumberFormat="1" applyFont="1" applyFill="1" applyBorder="1" applyAlignment="1">
      <alignment horizontal="center" vertical="center" wrapText="1"/>
    </xf>
    <xf numFmtId="189" fontId="8" fillId="32" borderId="23" xfId="44" applyNumberFormat="1" applyFont="1" applyFill="1" applyBorder="1" applyAlignment="1">
      <alignment horizontal="center" vertical="center" wrapText="1"/>
    </xf>
    <xf numFmtId="189" fontId="8" fillId="32" borderId="18" xfId="44" applyNumberFormat="1" applyFont="1" applyFill="1" applyBorder="1" applyAlignment="1">
      <alignment horizontal="center" vertical="center" wrapText="1"/>
    </xf>
    <xf numFmtId="189" fontId="8" fillId="32" borderId="16" xfId="44"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3" xfId="0" applyFont="1" applyFill="1" applyBorder="1" applyAlignment="1">
      <alignment horizontal="center" vertical="center" wrapText="1"/>
    </xf>
    <xf numFmtId="3" fontId="7" fillId="32" borderId="22" xfId="75" applyNumberFormat="1" applyFont="1" applyFill="1" applyBorder="1" applyAlignment="1">
      <alignment horizontal="center" vertical="center" wrapText="1"/>
      <protection/>
    </xf>
    <xf numFmtId="3" fontId="7" fillId="32" borderId="15" xfId="75" applyNumberFormat="1" applyFont="1" applyFill="1" applyBorder="1" applyAlignment="1">
      <alignment horizontal="center" vertical="center" wrapText="1"/>
      <protection/>
    </xf>
    <xf numFmtId="3" fontId="7" fillId="32" borderId="14" xfId="75" applyNumberFormat="1" applyFont="1" applyFill="1" applyBorder="1" applyAlignment="1">
      <alignment horizontal="center" vertical="center" wrapText="1"/>
      <protection/>
    </xf>
    <xf numFmtId="3" fontId="7" fillId="32" borderId="23" xfId="75" applyNumberFormat="1" applyFont="1" applyFill="1" applyBorder="1" applyAlignment="1">
      <alignment horizontal="center" vertical="center" wrapText="1"/>
      <protection/>
    </xf>
    <xf numFmtId="3" fontId="7" fillId="32" borderId="18" xfId="75" applyNumberFormat="1" applyFont="1" applyFill="1" applyBorder="1" applyAlignment="1">
      <alignment horizontal="center" vertical="center" wrapText="1"/>
      <protection/>
    </xf>
    <xf numFmtId="3" fontId="7" fillId="32" borderId="16" xfId="75" applyNumberFormat="1" applyFont="1" applyFill="1" applyBorder="1" applyAlignment="1">
      <alignment horizontal="center" vertical="center" wrapText="1"/>
      <protection/>
    </xf>
    <xf numFmtId="3" fontId="7" fillId="32" borderId="10" xfId="75" applyNumberFormat="1" applyFont="1" applyFill="1" applyBorder="1" applyAlignment="1">
      <alignment horizontal="center" vertical="center" wrapText="1"/>
      <protection/>
    </xf>
    <xf numFmtId="0" fontId="18" fillId="0" borderId="11" xfId="40" applyFont="1" applyFill="1" applyBorder="1" applyAlignment="1">
      <alignment horizontal="center" vertical="center" wrapText="1"/>
      <protection/>
    </xf>
    <xf numFmtId="0" fontId="18" fillId="0" borderId="13" xfId="40" applyFont="1" applyFill="1" applyBorder="1" applyAlignment="1">
      <alignment horizontal="center" vertical="center" wrapText="1"/>
      <protection/>
    </xf>
    <xf numFmtId="0" fontId="18" fillId="0" borderId="22" xfId="40" applyFont="1" applyFill="1" applyBorder="1" applyAlignment="1">
      <alignment horizontal="center" vertical="center" wrapText="1"/>
      <protection/>
    </xf>
    <xf numFmtId="0" fontId="18" fillId="0" borderId="14" xfId="40" applyFont="1" applyFill="1" applyBorder="1" applyAlignment="1">
      <alignment horizontal="center" vertical="center" wrapText="1"/>
      <protection/>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18" fillId="0" borderId="15" xfId="0" applyFont="1" applyFill="1" applyBorder="1" applyAlignment="1">
      <alignment horizontal="left" vertical="top"/>
    </xf>
    <xf numFmtId="0" fontId="18" fillId="0" borderId="18" xfId="40" applyFont="1" applyFill="1" applyBorder="1" applyAlignment="1">
      <alignment horizontal="center" vertical="center" wrapText="1"/>
      <protection/>
    </xf>
    <xf numFmtId="0" fontId="17" fillId="0" borderId="10" xfId="40" applyFont="1" applyFill="1" applyBorder="1" applyAlignment="1">
      <alignment horizontal="center" vertical="center" wrapText="1"/>
      <protection/>
    </xf>
    <xf numFmtId="0" fontId="17" fillId="0" borderId="10" xfId="40" applyFont="1" applyFill="1" applyBorder="1" applyAlignment="1">
      <alignment horizontal="left" vertical="center" wrapText="1"/>
      <protection/>
    </xf>
    <xf numFmtId="0" fontId="17" fillId="0" borderId="27" xfId="40" applyFont="1" applyFill="1" applyBorder="1" applyAlignment="1">
      <alignment horizontal="center" vertical="center" wrapText="1"/>
      <protection/>
    </xf>
    <xf numFmtId="0" fontId="17" fillId="0" borderId="28" xfId="40" applyFont="1" applyFill="1" applyBorder="1" applyAlignment="1">
      <alignment horizontal="center" vertical="center" wrapText="1"/>
      <protection/>
    </xf>
    <xf numFmtId="0" fontId="17" fillId="0" borderId="25" xfId="40" applyFont="1" applyFill="1" applyBorder="1" applyAlignment="1">
      <alignment horizontal="center" vertical="center" wrapText="1"/>
      <protection/>
    </xf>
    <xf numFmtId="0" fontId="74" fillId="0" borderId="22" xfId="0" applyFont="1" applyFill="1" applyBorder="1" applyAlignment="1">
      <alignment horizontal="center" vertical="center" wrapText="1"/>
    </xf>
    <xf numFmtId="0" fontId="74" fillId="0" borderId="15"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4" fillId="0" borderId="23" xfId="0" applyFont="1" applyFill="1" applyBorder="1" applyAlignment="1">
      <alignment horizontal="center" vertical="center" wrapText="1"/>
    </xf>
    <xf numFmtId="0" fontId="74" fillId="0" borderId="18"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0" xfId="0" applyFont="1" applyFill="1" applyBorder="1" applyAlignment="1">
      <alignment horizontal="center" vertical="center" wrapText="1"/>
    </xf>
    <xf numFmtId="189" fontId="74" fillId="0" borderId="10" xfId="0" applyNumberFormat="1" applyFont="1" applyFill="1" applyBorder="1" applyAlignment="1">
      <alignment horizontal="center" vertical="center" wrapText="1"/>
    </xf>
    <xf numFmtId="0" fontId="3" fillId="0" borderId="0" xfId="40" applyFont="1" applyFill="1" applyBorder="1" applyAlignment="1">
      <alignment horizontal="center" vertical="center"/>
      <protection/>
    </xf>
    <xf numFmtId="0" fontId="13" fillId="0" borderId="0" xfId="0" applyFont="1" applyFill="1" applyBorder="1" applyAlignment="1">
      <alignment horizontal="center" vertical="center" wrapText="1"/>
    </xf>
    <xf numFmtId="0" fontId="79" fillId="0" borderId="0" xfId="0" applyFont="1" applyFill="1" applyBorder="1" applyAlignment="1">
      <alignment horizontal="right" vertical="center" wrapText="1"/>
    </xf>
    <xf numFmtId="0" fontId="74" fillId="0" borderId="11" xfId="69" applyFont="1" applyFill="1" applyBorder="1" applyAlignment="1">
      <alignment horizontal="center" vertical="center" wrapText="1"/>
      <protection/>
    </xf>
    <xf numFmtId="0" fontId="74" fillId="0" borderId="24" xfId="69" applyFont="1" applyFill="1" applyBorder="1" applyAlignment="1">
      <alignment horizontal="center" vertical="center" wrapText="1"/>
      <protection/>
    </xf>
    <xf numFmtId="0" fontId="74" fillId="0" borderId="13" xfId="69" applyFont="1" applyFill="1" applyBorder="1" applyAlignment="1">
      <alignment horizontal="center" vertical="center" wrapText="1"/>
      <protection/>
    </xf>
    <xf numFmtId="0" fontId="79" fillId="0" borderId="10" xfId="69" applyFont="1" applyFill="1" applyBorder="1" applyAlignment="1">
      <alignment horizontal="center" vertical="center" wrapText="1"/>
      <protection/>
    </xf>
    <xf numFmtId="0" fontId="74" fillId="0" borderId="11"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9" fillId="0" borderId="10" xfId="0" applyFont="1" applyFill="1" applyBorder="1" applyAlignment="1">
      <alignment horizontal="center" vertical="center" wrapText="1"/>
    </xf>
    <xf numFmtId="3" fontId="16" fillId="0" borderId="11" xfId="75" applyNumberFormat="1" applyFont="1" applyBorder="1" applyAlignment="1">
      <alignment horizontal="center" vertical="center" wrapText="1"/>
      <protection/>
    </xf>
    <xf numFmtId="3" fontId="16" fillId="0" borderId="24" xfId="75" applyNumberFormat="1" applyFont="1" applyBorder="1" applyAlignment="1">
      <alignment horizontal="center" vertical="center" wrapText="1"/>
      <protection/>
    </xf>
    <xf numFmtId="3" fontId="16" fillId="0" borderId="13" xfId="75" applyNumberFormat="1" applyFont="1" applyBorder="1" applyAlignment="1">
      <alignment horizontal="center" vertical="center" wrapText="1"/>
      <protection/>
    </xf>
    <xf numFmtId="3" fontId="16" fillId="0" borderId="11" xfId="75" applyNumberFormat="1" applyFont="1" applyFill="1" applyBorder="1" applyAlignment="1">
      <alignment horizontal="center" vertical="center" wrapText="1"/>
      <protection/>
    </xf>
    <xf numFmtId="3" fontId="16" fillId="0" borderId="24" xfId="75" applyNumberFormat="1" applyFont="1" applyFill="1" applyBorder="1" applyAlignment="1">
      <alignment horizontal="center" vertical="center" wrapText="1"/>
      <protection/>
    </xf>
    <xf numFmtId="3" fontId="16" fillId="0" borderId="13" xfId="75" applyNumberFormat="1" applyFont="1" applyFill="1" applyBorder="1" applyAlignment="1">
      <alignment horizontal="center" vertical="center" wrapText="1"/>
      <protection/>
    </xf>
    <xf numFmtId="3" fontId="16" fillId="0" borderId="27" xfId="75" applyNumberFormat="1" applyFont="1" applyBorder="1" applyAlignment="1">
      <alignment horizontal="center" vertical="center" wrapText="1"/>
      <protection/>
    </xf>
    <xf numFmtId="3" fontId="16" fillId="0" borderId="28" xfId="75" applyNumberFormat="1" applyFont="1" applyBorder="1" applyAlignment="1">
      <alignment horizontal="center" vertical="center" wrapText="1"/>
      <protection/>
    </xf>
    <xf numFmtId="3" fontId="16" fillId="0" borderId="25" xfId="75" applyNumberFormat="1" applyFont="1" applyBorder="1" applyAlignment="1">
      <alignment horizontal="center" vertical="center" wrapText="1"/>
      <protection/>
    </xf>
    <xf numFmtId="3" fontId="16" fillId="0" borderId="27" xfId="75" applyNumberFormat="1" applyFont="1" applyFill="1" applyBorder="1" applyAlignment="1">
      <alignment horizontal="center" vertical="center" wrapText="1"/>
      <protection/>
    </xf>
    <xf numFmtId="3" fontId="16" fillId="0" borderId="28" xfId="75" applyNumberFormat="1" applyFont="1" applyFill="1" applyBorder="1" applyAlignment="1">
      <alignment horizontal="center" vertical="center" wrapText="1"/>
      <protection/>
    </xf>
    <xf numFmtId="3" fontId="16" fillId="0" borderId="25" xfId="75" applyNumberFormat="1" applyFont="1" applyFill="1" applyBorder="1" applyAlignment="1">
      <alignment horizontal="center" vertical="center" wrapText="1"/>
      <protection/>
    </xf>
    <xf numFmtId="3" fontId="16" fillId="0" borderId="22" xfId="75" applyNumberFormat="1" applyFont="1" applyBorder="1" applyAlignment="1">
      <alignment horizontal="center" vertical="center" wrapText="1"/>
      <protection/>
    </xf>
    <xf numFmtId="3" fontId="16" fillId="0" borderId="15" xfId="75" applyNumberFormat="1" applyFont="1" applyBorder="1" applyAlignment="1">
      <alignment horizontal="center" vertical="center" wrapText="1"/>
      <protection/>
    </xf>
    <xf numFmtId="3" fontId="16" fillId="0" borderId="14" xfId="75" applyNumberFormat="1" applyFont="1" applyBorder="1" applyAlignment="1">
      <alignment horizontal="center" vertical="center" wrapText="1"/>
      <protection/>
    </xf>
    <xf numFmtId="3" fontId="16" fillId="0" borderId="26" xfId="75" applyNumberFormat="1" applyFont="1" applyBorder="1" applyAlignment="1">
      <alignment horizontal="center" vertical="center" wrapText="1"/>
      <protection/>
    </xf>
    <xf numFmtId="3" fontId="16" fillId="0" borderId="0" xfId="75" applyNumberFormat="1" applyFont="1" applyBorder="1" applyAlignment="1">
      <alignment horizontal="center" vertical="center" wrapText="1"/>
      <protection/>
    </xf>
    <xf numFmtId="3" fontId="16" fillId="0" borderId="17" xfId="75" applyNumberFormat="1" applyFont="1" applyBorder="1" applyAlignment="1">
      <alignment horizontal="center" vertical="center" wrapText="1"/>
      <protection/>
    </xf>
    <xf numFmtId="3" fontId="16" fillId="0" borderId="23" xfId="75" applyNumberFormat="1" applyFont="1" applyBorder="1" applyAlignment="1">
      <alignment horizontal="center" vertical="center" wrapText="1"/>
      <protection/>
    </xf>
    <xf numFmtId="3" fontId="16" fillId="0" borderId="18" xfId="75" applyNumberFormat="1" applyFont="1" applyBorder="1" applyAlignment="1">
      <alignment horizontal="center" vertical="center" wrapText="1"/>
      <protection/>
    </xf>
    <xf numFmtId="3" fontId="16" fillId="0" borderId="16" xfId="75" applyNumberFormat="1" applyFont="1" applyBorder="1" applyAlignment="1">
      <alignment horizontal="center" vertical="center" wrapText="1"/>
      <protection/>
    </xf>
    <xf numFmtId="3" fontId="13" fillId="0" borderId="27" xfId="75" applyNumberFormat="1" applyFont="1" applyFill="1" applyBorder="1" applyAlignment="1">
      <alignment horizontal="left" vertical="center" wrapText="1"/>
      <protection/>
    </xf>
    <xf numFmtId="3" fontId="13" fillId="0" borderId="25" xfId="75" applyNumberFormat="1" applyFont="1" applyFill="1" applyBorder="1" applyAlignment="1">
      <alignment horizontal="left" vertical="center" wrapText="1"/>
      <protection/>
    </xf>
    <xf numFmtId="3" fontId="16" fillId="0" borderId="22" xfId="75" applyNumberFormat="1" applyFont="1" applyFill="1" applyBorder="1" applyAlignment="1">
      <alignment horizontal="center" vertical="center" wrapText="1"/>
      <protection/>
    </xf>
    <xf numFmtId="3" fontId="16" fillId="0" borderId="15" xfId="75" applyNumberFormat="1" applyFont="1" applyFill="1" applyBorder="1" applyAlignment="1">
      <alignment horizontal="center" vertical="center" wrapText="1"/>
      <protection/>
    </xf>
    <xf numFmtId="3" fontId="16" fillId="0" borderId="14" xfId="75" applyNumberFormat="1" applyFont="1" applyFill="1" applyBorder="1" applyAlignment="1">
      <alignment horizontal="center" vertical="center" wrapText="1"/>
      <protection/>
    </xf>
    <xf numFmtId="3" fontId="16" fillId="0" borderId="23" xfId="75" applyNumberFormat="1" applyFont="1" applyFill="1" applyBorder="1" applyAlignment="1">
      <alignment horizontal="center" vertical="center" wrapText="1"/>
      <protection/>
    </xf>
    <xf numFmtId="3" fontId="16" fillId="0" borderId="18" xfId="75" applyNumberFormat="1" applyFont="1" applyFill="1" applyBorder="1" applyAlignment="1">
      <alignment horizontal="center" vertical="center" wrapText="1"/>
      <protection/>
    </xf>
    <xf numFmtId="3" fontId="16" fillId="0" borderId="16" xfId="75" applyNumberFormat="1" applyFont="1" applyFill="1" applyBorder="1" applyAlignment="1">
      <alignment horizontal="center" vertical="center" wrapText="1"/>
      <protection/>
    </xf>
    <xf numFmtId="3" fontId="13" fillId="0" borderId="11" xfId="75" applyNumberFormat="1" applyFont="1" applyFill="1" applyBorder="1" applyAlignment="1">
      <alignment horizontal="center" vertical="center" wrapText="1"/>
      <protection/>
    </xf>
    <xf numFmtId="3" fontId="13" fillId="0" borderId="24" xfId="75" applyNumberFormat="1" applyFont="1" applyFill="1" applyBorder="1" applyAlignment="1">
      <alignment horizontal="center" vertical="center" wrapText="1"/>
      <protection/>
    </xf>
    <xf numFmtId="3" fontId="13" fillId="0" borderId="13" xfId="75" applyNumberFormat="1" applyFont="1" applyFill="1" applyBorder="1" applyAlignment="1">
      <alignment horizontal="center" vertical="center" wrapText="1"/>
      <protection/>
    </xf>
    <xf numFmtId="3" fontId="8" fillId="32" borderId="12" xfId="75" applyNumberFormat="1" applyFont="1" applyFill="1" applyBorder="1" applyAlignment="1">
      <alignment horizontal="center" vertical="center" wrapText="1"/>
      <protection/>
    </xf>
    <xf numFmtId="3" fontId="13" fillId="0" borderId="28" xfId="75" applyNumberFormat="1" applyFont="1" applyFill="1" applyBorder="1" applyAlignment="1">
      <alignment horizontal="left" vertical="center" wrapText="1"/>
      <protection/>
    </xf>
    <xf numFmtId="3" fontId="13" fillId="0" borderId="27" xfId="75" applyNumberFormat="1" applyFont="1" applyFill="1" applyBorder="1" applyAlignment="1">
      <alignment horizontal="center" vertical="center" wrapText="1"/>
      <protection/>
    </xf>
    <xf numFmtId="3" fontId="13" fillId="0" borderId="28" xfId="75" applyNumberFormat="1" applyFont="1" applyFill="1" applyBorder="1" applyAlignment="1">
      <alignment horizontal="center" vertical="center" wrapText="1"/>
      <protection/>
    </xf>
    <xf numFmtId="3" fontId="13" fillId="0" borderId="25" xfId="75" applyNumberFormat="1" applyFont="1" applyFill="1" applyBorder="1" applyAlignment="1">
      <alignment horizontal="center" vertical="center" wrapText="1"/>
      <protection/>
    </xf>
    <xf numFmtId="1" fontId="11" fillId="32" borderId="19" xfId="75" applyNumberFormat="1" applyFont="1" applyFill="1" applyBorder="1" applyAlignment="1">
      <alignment horizontal="left" vertical="center" wrapText="1"/>
      <protection/>
    </xf>
    <xf numFmtId="1" fontId="8" fillId="32" borderId="19" xfId="75" applyNumberFormat="1" applyFont="1" applyFill="1" applyBorder="1" applyAlignment="1">
      <alignment horizontal="left" vertical="center" wrapText="1"/>
      <protection/>
    </xf>
    <xf numFmtId="1" fontId="11" fillId="32" borderId="19" xfId="75" applyNumberFormat="1" applyFont="1" applyFill="1" applyBorder="1" applyAlignment="1">
      <alignment horizontal="center" vertical="center" wrapText="1"/>
      <protection/>
    </xf>
    <xf numFmtId="3" fontId="10" fillId="32" borderId="29" xfId="75" applyNumberFormat="1" applyFont="1" applyFill="1" applyBorder="1" applyAlignment="1">
      <alignment horizontal="center" vertical="center" wrapText="1"/>
      <protection/>
    </xf>
    <xf numFmtId="3" fontId="10" fillId="32" borderId="20" xfId="75" applyNumberFormat="1" applyFont="1" applyFill="1" applyBorder="1" applyAlignment="1">
      <alignment horizontal="center" vertical="center" wrapText="1"/>
      <protection/>
    </xf>
    <xf numFmtId="1" fontId="8" fillId="32" borderId="19" xfId="75" applyNumberFormat="1" applyFont="1" applyFill="1" applyBorder="1" applyAlignment="1">
      <alignment horizontal="center" vertical="center" wrapText="1"/>
      <protection/>
    </xf>
    <xf numFmtId="39" fontId="7" fillId="32" borderId="10" xfId="46" applyNumberFormat="1" applyFont="1" applyFill="1" applyBorder="1" applyAlignment="1">
      <alignment horizontal="right" vertical="center" wrapText="1"/>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heck Cell" xfId="42"/>
    <cellStyle name="Chuẩn 2" xfId="43"/>
    <cellStyle name="Comma" xfId="44"/>
    <cellStyle name="Comma [0]" xfId="45"/>
    <cellStyle name="Comma 10 10" xfId="46"/>
    <cellStyle name="Comma 2" xfId="47"/>
    <cellStyle name="Comma 2 6" xfId="48"/>
    <cellStyle name="Comma 3" xfId="49"/>
    <cellStyle name="Comma 6" xfId="50"/>
    <cellStyle name="Comma 7" xfId="51"/>
    <cellStyle name="Currency" xfId="52"/>
    <cellStyle name="Currency [0]" xfId="53"/>
    <cellStyle name="Dấu_phảy 3"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Input" xfId="63"/>
    <cellStyle name="Linked Cell" xfId="64"/>
    <cellStyle name="Neutral" xfId="65"/>
    <cellStyle name="Normal 2" xfId="66"/>
    <cellStyle name="Normal 2 2" xfId="67"/>
    <cellStyle name="Normal 2 5" xfId="68"/>
    <cellStyle name="Normal 2 8" xfId="69"/>
    <cellStyle name="Normal 3" xfId="70"/>
    <cellStyle name="Normal 5" xfId="71"/>
    <cellStyle name="Normal 6" xfId="72"/>
    <cellStyle name="Normal 7" xfId="73"/>
    <cellStyle name="Normal 8" xfId="74"/>
    <cellStyle name="Normal_Bieu mau (CV )" xfId="75"/>
    <cellStyle name="Normal_Bieu mau (CV ) 2" xfId="76"/>
    <cellStyle name="Note" xfId="77"/>
    <cellStyle name="Output" xfId="78"/>
    <cellStyle name="Percent" xfId="79"/>
    <cellStyle name="Percent 2" xfId="80"/>
    <cellStyle name="Title" xfId="81"/>
    <cellStyle name="Total" xfId="82"/>
    <cellStyle name="Warning Text"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r&#7847;n.hi&#7873;n\N&#259;m%202022\Xem%20r&#7891;ii%20x&#243;a\191.T11%20GI&#7842;I%20NG&#194;N%20ODA%20&#272;&#7870;N%2028.11.2022%20v&#224;%2031.12.2022.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r&#7847;n.hi&#7873;n\N&#259;m%202022\Xem%20r&#7891;ii%20x&#243;a\180.T11.KH%20&#273;a&#770;&#768;u%20tu&#795;%20co&#770;ng%202023%20-%20BC%20BTV%20(sau%20tho&#770;ng%20ba&#769;o%20c&#7911;a%20B&#7897;%20g&#7917;i%20anh%20Th&#432;&#417;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8">
          <cell r="J18">
            <v>37303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1 THDP"/>
      <sheetName val="Sheet1"/>
      <sheetName val="Sheet3"/>
      <sheetName val="Biẻu 2 CĐNS"/>
      <sheetName val="Bieu3 TW trong nuoc"/>
      <sheetName val="Biểu 5. CTMTQG giảm nghèo"/>
      <sheetName val="Biểu 6. CTMTQG DTTS"/>
      <sheetName val="Bieu 7 NTM"/>
      <sheetName val="B4 ODA"/>
      <sheetName val="Biểu 4 ODA"/>
      <sheetName val="Sheet2"/>
    </sheetNames>
    <sheetDataSet>
      <sheetData sheetId="9">
        <row r="20">
          <cell r="AN20" t="str">
            <v>Sở Kế hoạch và Đầu tư</v>
          </cell>
        </row>
        <row r="21">
          <cell r="AN21" t="str">
            <v>Sở Giao thông vận tải</v>
          </cell>
        </row>
        <row r="25">
          <cell r="AN25" t="str">
            <v>Ban Điều phối dự án CSSP tỉnh Bắc Kạn</v>
          </cell>
        </row>
        <row r="29">
          <cell r="AN29" t="str">
            <v>Sở Y tế</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N87"/>
  <sheetViews>
    <sheetView tabSelected="1" zoomScale="55" zoomScaleNormal="55" zoomScalePageLayoutView="0" workbookViewId="0" topLeftCell="A1">
      <pane xSplit="2" ySplit="9" topLeftCell="AB73" activePane="bottomRight" state="frozen"/>
      <selection pane="topLeft" activeCell="A1" sqref="A1"/>
      <selection pane="topRight" activeCell="C1" sqref="C1"/>
      <selection pane="bottomLeft" activeCell="A11" sqref="A11"/>
      <selection pane="bottomRight" activeCell="AL77" sqref="A1:IV16384"/>
    </sheetView>
  </sheetViews>
  <sheetFormatPr defaultColWidth="9.140625" defaultRowHeight="15"/>
  <cols>
    <col min="1" max="1" width="5.7109375" style="12" customWidth="1"/>
    <col min="2" max="2" width="70.7109375" style="200" customWidth="1"/>
    <col min="3" max="4" width="10.140625" style="201" hidden="1" customWidth="1"/>
    <col min="5" max="5" width="22.7109375" style="12" hidden="1" customWidth="1"/>
    <col min="6" max="7" width="15.28125" style="202" hidden="1" customWidth="1"/>
    <col min="8" max="8" width="22.140625" style="203" hidden="1" customWidth="1"/>
    <col min="9" max="10" width="12.7109375" style="202" hidden="1" customWidth="1"/>
    <col min="11" max="11" width="15.7109375" style="202" hidden="1" customWidth="1"/>
    <col min="12" max="13" width="12.7109375" style="202" hidden="1" customWidth="1"/>
    <col min="14" max="15" width="15.140625" style="202" hidden="1" customWidth="1"/>
    <col min="16" max="16" width="12.7109375" style="202" hidden="1" customWidth="1"/>
    <col min="17" max="17" width="18.57421875" style="202" hidden="1" customWidth="1"/>
    <col min="18" max="18" width="17.421875" style="202" hidden="1" customWidth="1"/>
    <col min="19" max="19" width="13.7109375" style="202" hidden="1" customWidth="1"/>
    <col min="20" max="27" width="12.7109375" style="202" hidden="1" customWidth="1"/>
    <col min="28" max="28" width="19.140625" style="202" customWidth="1"/>
    <col min="29" max="30" width="15.421875" style="202" hidden="1" customWidth="1"/>
    <col min="31" max="31" width="16.8515625" style="202" hidden="1" customWidth="1"/>
    <col min="32" max="32" width="12.7109375" style="202" hidden="1" customWidth="1"/>
    <col min="33" max="33" width="12.140625" style="202" hidden="1" customWidth="1"/>
    <col min="34" max="34" width="21.57421875" style="12" customWidth="1"/>
    <col min="35" max="35" width="14.7109375" style="12" customWidth="1"/>
    <col min="36" max="36" width="8.8515625" style="11" customWidth="1"/>
    <col min="37" max="37" width="17.57421875" style="11" customWidth="1"/>
    <col min="38" max="16384" width="8.8515625" style="11" customWidth="1"/>
  </cols>
  <sheetData>
    <row r="1" spans="1:37" ht="43.5" customHeight="1">
      <c r="A1" s="378" t="s">
        <v>436</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K1" s="199"/>
    </row>
    <row r="2" spans="1:37" ht="18">
      <c r="A2" s="381" t="s">
        <v>437</v>
      </c>
      <c r="B2" s="381"/>
      <c r="C2" s="381"/>
      <c r="D2" s="381"/>
      <c r="E2" s="381"/>
      <c r="F2" s="381"/>
      <c r="G2" s="381"/>
      <c r="H2" s="381"/>
      <c r="I2" s="381"/>
      <c r="J2" s="381"/>
      <c r="K2" s="381"/>
      <c r="L2" s="381"/>
      <c r="M2" s="381"/>
      <c r="N2" s="381"/>
      <c r="O2" s="381"/>
      <c r="P2" s="381"/>
      <c r="Q2" s="381"/>
      <c r="R2" s="381"/>
      <c r="S2" s="381"/>
      <c r="T2" s="381"/>
      <c r="U2" s="381"/>
      <c r="V2" s="381"/>
      <c r="W2" s="381"/>
      <c r="X2" s="381"/>
      <c r="Y2" s="381"/>
      <c r="Z2" s="381"/>
      <c r="AA2" s="381"/>
      <c r="AB2" s="381"/>
      <c r="AC2" s="381"/>
      <c r="AD2" s="381"/>
      <c r="AE2" s="381"/>
      <c r="AF2" s="381"/>
      <c r="AG2" s="381"/>
      <c r="AH2" s="381"/>
      <c r="AI2" s="381"/>
      <c r="AK2" s="199"/>
    </row>
    <row r="3" spans="1:37" ht="18">
      <c r="A3" s="371"/>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K3" s="199"/>
    </row>
    <row r="4" spans="8:35" ht="15">
      <c r="H4" s="203" t="e">
        <f>AD9+AE9</f>
        <v>#REF!</v>
      </c>
      <c r="R4" s="379" t="s">
        <v>50</v>
      </c>
      <c r="S4" s="379"/>
      <c r="T4" s="379"/>
      <c r="U4" s="379"/>
      <c r="V4" s="379"/>
      <c r="W4" s="379"/>
      <c r="X4" s="379"/>
      <c r="Y4" s="379"/>
      <c r="Z4" s="379"/>
      <c r="AA4" s="379"/>
      <c r="AB4" s="379"/>
      <c r="AC4" s="379"/>
      <c r="AD4" s="379"/>
      <c r="AE4" s="379"/>
      <c r="AF4" s="379"/>
      <c r="AG4" s="379"/>
      <c r="AH4" s="379"/>
      <c r="AI4" s="379"/>
    </row>
    <row r="5" spans="1:35" s="198" customFormat="1" ht="15.75" customHeight="1">
      <c r="A5" s="380" t="s">
        <v>10</v>
      </c>
      <c r="B5" s="380" t="s">
        <v>6</v>
      </c>
      <c r="C5" s="386" t="s">
        <v>114</v>
      </c>
      <c r="D5" s="386"/>
      <c r="E5" s="380" t="s">
        <v>11</v>
      </c>
      <c r="F5" s="380"/>
      <c r="G5" s="380"/>
      <c r="H5" s="372" t="s">
        <v>115</v>
      </c>
      <c r="I5" s="372"/>
      <c r="J5" s="372" t="s">
        <v>51</v>
      </c>
      <c r="K5" s="373" t="s">
        <v>374</v>
      </c>
      <c r="L5" s="382"/>
      <c r="M5" s="382"/>
      <c r="N5" s="382"/>
      <c r="O5" s="382"/>
      <c r="P5" s="383"/>
      <c r="Q5" s="372" t="s">
        <v>374</v>
      </c>
      <c r="R5" s="373" t="s">
        <v>189</v>
      </c>
      <c r="S5" s="296"/>
      <c r="T5" s="372" t="s">
        <v>117</v>
      </c>
      <c r="U5" s="359" t="s">
        <v>373</v>
      </c>
      <c r="V5" s="359"/>
      <c r="W5" s="359"/>
      <c r="X5" s="359"/>
      <c r="Y5" s="375" t="s">
        <v>373</v>
      </c>
      <c r="Z5" s="375" t="s">
        <v>431</v>
      </c>
      <c r="AA5" s="375" t="s">
        <v>432</v>
      </c>
      <c r="AB5" s="375" t="s">
        <v>438</v>
      </c>
      <c r="AC5" s="372" t="s">
        <v>381</v>
      </c>
      <c r="AD5" s="372"/>
      <c r="AE5" s="372" t="s">
        <v>377</v>
      </c>
      <c r="AF5" s="372" t="s">
        <v>364</v>
      </c>
      <c r="AG5" s="372" t="s">
        <v>166</v>
      </c>
      <c r="AH5" s="380" t="s">
        <v>169</v>
      </c>
      <c r="AI5" s="380" t="s">
        <v>12</v>
      </c>
    </row>
    <row r="6" spans="1:35" s="198" customFormat="1" ht="33.75" customHeight="1">
      <c r="A6" s="380"/>
      <c r="B6" s="380"/>
      <c r="C6" s="386"/>
      <c r="D6" s="386"/>
      <c r="E6" s="380"/>
      <c r="F6" s="380"/>
      <c r="G6" s="380"/>
      <c r="H6" s="372"/>
      <c r="I6" s="372"/>
      <c r="J6" s="372"/>
      <c r="K6" s="374"/>
      <c r="L6" s="384"/>
      <c r="M6" s="384"/>
      <c r="N6" s="384"/>
      <c r="O6" s="384"/>
      <c r="P6" s="385"/>
      <c r="Q6" s="372"/>
      <c r="R6" s="374"/>
      <c r="S6" s="297"/>
      <c r="T6" s="372"/>
      <c r="U6" s="359"/>
      <c r="V6" s="359"/>
      <c r="W6" s="359"/>
      <c r="X6" s="359"/>
      <c r="Y6" s="376"/>
      <c r="Z6" s="376"/>
      <c r="AA6" s="376"/>
      <c r="AB6" s="376"/>
      <c r="AC6" s="372"/>
      <c r="AD6" s="372"/>
      <c r="AE6" s="372"/>
      <c r="AF6" s="372"/>
      <c r="AG6" s="372"/>
      <c r="AH6" s="380"/>
      <c r="AI6" s="380"/>
    </row>
    <row r="7" spans="1:35" s="198" customFormat="1" ht="15" customHeight="1">
      <c r="A7" s="380"/>
      <c r="B7" s="380"/>
      <c r="C7" s="386" t="s">
        <v>108</v>
      </c>
      <c r="D7" s="386" t="s">
        <v>109</v>
      </c>
      <c r="E7" s="380" t="s">
        <v>54</v>
      </c>
      <c r="F7" s="372" t="s">
        <v>172</v>
      </c>
      <c r="G7" s="372"/>
      <c r="H7" s="372" t="s">
        <v>54</v>
      </c>
      <c r="I7" s="372" t="s">
        <v>118</v>
      </c>
      <c r="J7" s="372"/>
      <c r="K7" s="375" t="s">
        <v>369</v>
      </c>
      <c r="L7" s="375" t="s">
        <v>371</v>
      </c>
      <c r="M7" s="375" t="s">
        <v>370</v>
      </c>
      <c r="N7" s="375" t="s">
        <v>372</v>
      </c>
      <c r="O7" s="375" t="s">
        <v>379</v>
      </c>
      <c r="P7" s="375" t="s">
        <v>380</v>
      </c>
      <c r="Q7" s="372"/>
      <c r="R7" s="372" t="s">
        <v>187</v>
      </c>
      <c r="S7" s="372" t="s">
        <v>188</v>
      </c>
      <c r="T7" s="372"/>
      <c r="U7" s="372" t="s">
        <v>368</v>
      </c>
      <c r="V7" s="372" t="s">
        <v>365</v>
      </c>
      <c r="W7" s="372" t="s">
        <v>366</v>
      </c>
      <c r="X7" s="372" t="s">
        <v>367</v>
      </c>
      <c r="Y7" s="376"/>
      <c r="Z7" s="376"/>
      <c r="AA7" s="376"/>
      <c r="AB7" s="376"/>
      <c r="AC7" s="372" t="s">
        <v>15</v>
      </c>
      <c r="AD7" s="372" t="s">
        <v>425</v>
      </c>
      <c r="AE7" s="372"/>
      <c r="AF7" s="372"/>
      <c r="AG7" s="372"/>
      <c r="AH7" s="380"/>
      <c r="AI7" s="380"/>
    </row>
    <row r="8" spans="1:35" s="198" customFormat="1" ht="39.75" customHeight="1">
      <c r="A8" s="380"/>
      <c r="B8" s="380"/>
      <c r="C8" s="386"/>
      <c r="D8" s="386"/>
      <c r="E8" s="380"/>
      <c r="F8" s="206" t="s">
        <v>1</v>
      </c>
      <c r="G8" s="206" t="s">
        <v>378</v>
      </c>
      <c r="H8" s="372"/>
      <c r="I8" s="372"/>
      <c r="J8" s="372"/>
      <c r="K8" s="377"/>
      <c r="L8" s="377"/>
      <c r="M8" s="377"/>
      <c r="N8" s="377"/>
      <c r="O8" s="377"/>
      <c r="P8" s="377"/>
      <c r="Q8" s="372"/>
      <c r="R8" s="372"/>
      <c r="S8" s="372"/>
      <c r="T8" s="372"/>
      <c r="U8" s="372"/>
      <c r="V8" s="372"/>
      <c r="W8" s="372"/>
      <c r="X8" s="372"/>
      <c r="Y8" s="377"/>
      <c r="Z8" s="377"/>
      <c r="AA8" s="377"/>
      <c r="AB8" s="377"/>
      <c r="AC8" s="372"/>
      <c r="AD8" s="372"/>
      <c r="AE8" s="372"/>
      <c r="AF8" s="372"/>
      <c r="AG8" s="372"/>
      <c r="AH8" s="380"/>
      <c r="AI8" s="380"/>
    </row>
    <row r="9" spans="1:35" s="198" customFormat="1" ht="23.25" customHeight="1">
      <c r="A9" s="195"/>
      <c r="B9" s="196" t="s">
        <v>119</v>
      </c>
      <c r="C9" s="197"/>
      <c r="D9" s="197"/>
      <c r="E9" s="195"/>
      <c r="F9" s="178"/>
      <c r="G9" s="178"/>
      <c r="H9" s="178"/>
      <c r="I9" s="178"/>
      <c r="J9" s="178"/>
      <c r="K9" s="178" t="e">
        <f>K10+K80+#REF!+#REF!+#REF!</f>
        <v>#REF!</v>
      </c>
      <c r="L9" s="178" t="e">
        <f>L10+L80+#REF!+#REF!+#REF!</f>
        <v>#REF!</v>
      </c>
      <c r="M9" s="178" t="e">
        <f>M10+M80+#REF!+#REF!+#REF!</f>
        <v>#REF!</v>
      </c>
      <c r="N9" s="178" t="e">
        <f>N10+N80+#REF!+#REF!+#REF!</f>
        <v>#REF!</v>
      </c>
      <c r="O9" s="178" t="e">
        <f>O10+O80+#REF!+#REF!+#REF!</f>
        <v>#REF!</v>
      </c>
      <c r="P9" s="178" t="e">
        <f>P10+P80+#REF!+#REF!+#REF!</f>
        <v>#REF!</v>
      </c>
      <c r="Q9" s="178" t="e">
        <f>Q10+Q80+#REF!+#REF!</f>
        <v>#REF!</v>
      </c>
      <c r="R9" s="178" t="e">
        <f>R10+R80+#REF!+#REF!</f>
        <v>#REF!</v>
      </c>
      <c r="S9" s="178" t="e">
        <f>S10+S80+#REF!+#REF!</f>
        <v>#REF!</v>
      </c>
      <c r="T9" s="178" t="e">
        <f>T10+T80+#REF!+#REF!</f>
        <v>#REF!</v>
      </c>
      <c r="U9" s="178" t="e">
        <f>U10+U80+#REF!+#REF!</f>
        <v>#REF!</v>
      </c>
      <c r="V9" s="178" t="e">
        <f>V10+V80+#REF!+#REF!</f>
        <v>#REF!</v>
      </c>
      <c r="W9" s="178" t="e">
        <f>W10+W80+#REF!+#REF!</f>
        <v>#REF!</v>
      </c>
      <c r="X9" s="178" t="e">
        <f>X10+X80+#REF!+#REF!</f>
        <v>#REF!</v>
      </c>
      <c r="Y9" s="178" t="e">
        <f>Y10+Y80+#REF!+#REF!</f>
        <v>#REF!</v>
      </c>
      <c r="Z9" s="178" t="e">
        <f>Z10+Z80+#REF!+#REF!</f>
        <v>#REF!</v>
      </c>
      <c r="AA9" s="178" t="e">
        <f>AA10+AA80+#REF!+#REF!</f>
        <v>#REF!</v>
      </c>
      <c r="AB9" s="178">
        <f>AB10+AB80</f>
        <v>79487.76699999999</v>
      </c>
      <c r="AC9" s="178" t="e">
        <f>AC10+AC80+#REF!+#REF!+#REF!</f>
        <v>#REF!</v>
      </c>
      <c r="AD9" s="178" t="e">
        <f>AD10+AD80+#REF!+#REF!+#REF!</f>
        <v>#REF!</v>
      </c>
      <c r="AE9" s="178" t="e">
        <f>AE10+AE80+#REF!+#REF!</f>
        <v>#REF!</v>
      </c>
      <c r="AF9" s="178" t="e">
        <f>AF10+AF80+#REF!+#REF!</f>
        <v>#REF!</v>
      </c>
      <c r="AG9" s="178"/>
      <c r="AH9" s="195"/>
      <c r="AI9" s="195"/>
    </row>
    <row r="10" spans="1:35" ht="23.25" customHeight="1">
      <c r="A10" s="195" t="s">
        <v>16</v>
      </c>
      <c r="B10" s="196" t="s">
        <v>120</v>
      </c>
      <c r="C10" s="197"/>
      <c r="D10" s="197"/>
      <c r="E10" s="195"/>
      <c r="F10" s="178"/>
      <c r="G10" s="178"/>
      <c r="H10" s="178"/>
      <c r="I10" s="178"/>
      <c r="J10" s="178"/>
      <c r="K10" s="178" t="e">
        <f aca="true" t="shared" si="0" ref="K10:AC10">K11+K76</f>
        <v>#REF!</v>
      </c>
      <c r="L10" s="178" t="e">
        <f t="shared" si="0"/>
        <v>#REF!</v>
      </c>
      <c r="M10" s="178" t="e">
        <f t="shared" si="0"/>
        <v>#REF!</v>
      </c>
      <c r="N10" s="178" t="e">
        <f t="shared" si="0"/>
        <v>#REF!</v>
      </c>
      <c r="O10" s="178" t="e">
        <f t="shared" si="0"/>
        <v>#REF!</v>
      </c>
      <c r="P10" s="178" t="e">
        <f t="shared" si="0"/>
        <v>#REF!</v>
      </c>
      <c r="Q10" s="178" t="e">
        <f t="shared" si="0"/>
        <v>#REF!</v>
      </c>
      <c r="R10" s="204" t="e">
        <f t="shared" si="0"/>
        <v>#REF!</v>
      </c>
      <c r="S10" s="204" t="e">
        <f t="shared" si="0"/>
        <v>#REF!</v>
      </c>
      <c r="T10" s="178" t="e">
        <f t="shared" si="0"/>
        <v>#REF!</v>
      </c>
      <c r="U10" s="178" t="e">
        <f t="shared" si="0"/>
        <v>#REF!</v>
      </c>
      <c r="V10" s="178" t="e">
        <f t="shared" si="0"/>
        <v>#REF!</v>
      </c>
      <c r="W10" s="178" t="e">
        <f t="shared" si="0"/>
        <v>#REF!</v>
      </c>
      <c r="X10" s="178" t="e">
        <f t="shared" si="0"/>
        <v>#REF!</v>
      </c>
      <c r="Y10" s="178" t="e">
        <f t="shared" si="0"/>
        <v>#REF!</v>
      </c>
      <c r="Z10" s="178" t="e">
        <f t="shared" si="0"/>
        <v>#REF!</v>
      </c>
      <c r="AA10" s="178" t="e">
        <f t="shared" si="0"/>
        <v>#REF!</v>
      </c>
      <c r="AB10" s="178">
        <f t="shared" si="0"/>
        <v>48791.545</v>
      </c>
      <c r="AC10" s="178" t="e">
        <f t="shared" si="0"/>
        <v>#REF!</v>
      </c>
      <c r="AD10" s="178" t="e">
        <f aca="true" t="shared" si="1" ref="AD10:AD20">R10+Y10</f>
        <v>#REF!</v>
      </c>
      <c r="AE10" s="178" t="e">
        <f>AE11+AE76</f>
        <v>#REF!</v>
      </c>
      <c r="AF10" s="178" t="e">
        <f>AF11+AF76</f>
        <v>#REF!</v>
      </c>
      <c r="AG10" s="178"/>
      <c r="AH10" s="195"/>
      <c r="AI10" s="195"/>
    </row>
    <row r="11" spans="1:35" ht="23.25" customHeight="1">
      <c r="A11" s="195" t="s">
        <v>121</v>
      </c>
      <c r="B11" s="196" t="s">
        <v>122</v>
      </c>
      <c r="C11" s="197"/>
      <c r="D11" s="197"/>
      <c r="E11" s="195"/>
      <c r="F11" s="178"/>
      <c r="G11" s="178"/>
      <c r="H11" s="178"/>
      <c r="I11" s="178"/>
      <c r="J11" s="178"/>
      <c r="K11" s="178" t="e">
        <f>+#REF!+#REF!+#REF!+#REF!+#REF!+K12+K15+K18+K21+#REF!+#REF!+K24+#REF!+K35+K38+#REF!+#REF!+K44</f>
        <v>#REF!</v>
      </c>
      <c r="L11" s="178" t="e">
        <f>+#REF!+#REF!+#REF!+#REF!+#REF!+L12+L15+L18+L21+#REF!+#REF!+L24+#REF!+L35+L38+#REF!+#REF!+L44</f>
        <v>#REF!</v>
      </c>
      <c r="M11" s="178" t="e">
        <f>+#REF!+#REF!+#REF!+#REF!+#REF!+M12+M15+M18+M21+#REF!+#REF!+M24+#REF!+M35+M38+#REF!+#REF!+M44</f>
        <v>#REF!</v>
      </c>
      <c r="N11" s="178" t="e">
        <f>+#REF!+#REF!+#REF!+#REF!+#REF!+N12+N15+N18+N21+#REF!+#REF!+N24+#REF!+N35+N38+#REF!+#REF!+N44</f>
        <v>#REF!</v>
      </c>
      <c r="O11" s="178" t="e">
        <f>+#REF!+#REF!+#REF!+#REF!+#REF!+O12+O15+O18+O21+#REF!+#REF!+O24+#REF!+O35+O38+#REF!+#REF!+O44</f>
        <v>#REF!</v>
      </c>
      <c r="P11" s="178" t="e">
        <f>+#REF!+#REF!+#REF!+#REF!+#REF!+P12+P15+P18+P21+#REF!+#REF!+P24+#REF!+P35+P38+#REF!+#REF!+P44</f>
        <v>#REF!</v>
      </c>
      <c r="Q11" s="178" t="e">
        <f>#REF!+#REF!+#REF!+#REF!+Q12+Q15+Q18+Q21+#REF!+#REF!+Q24+#REF!+Q35+Q38+Q44</f>
        <v>#REF!</v>
      </c>
      <c r="R11" s="178" t="e">
        <f>#REF!+#REF!+#REF!+#REF!+R12+R15+R18+R21+#REF!+#REF!+R24+#REF!+R35+R38+R44</f>
        <v>#REF!</v>
      </c>
      <c r="S11" s="178" t="e">
        <f>#REF!+#REF!+#REF!+#REF!+S12+S15+S18+S21+#REF!+#REF!+S24+#REF!+S35+S38+S44</f>
        <v>#REF!</v>
      </c>
      <c r="T11" s="178" t="e">
        <f>#REF!+#REF!+#REF!+#REF!+T12+T15+T18+T21+#REF!+#REF!+T24+#REF!+T35+T38+T44</f>
        <v>#REF!</v>
      </c>
      <c r="U11" s="178" t="e">
        <f>#REF!+#REF!+#REF!+#REF!+U12+U15+U18+U21+#REF!+#REF!+U24+#REF!+U35+U38+U44</f>
        <v>#REF!</v>
      </c>
      <c r="V11" s="178" t="e">
        <f>#REF!+#REF!+#REF!+#REF!+V12+V15+V18+V21+#REF!+#REF!+V24+#REF!+V35+V38+V44</f>
        <v>#REF!</v>
      </c>
      <c r="W11" s="178" t="e">
        <f>#REF!+#REF!+#REF!+#REF!+W12+W15+W18+W21+#REF!+#REF!+W24+#REF!+W35+W38+W44</f>
        <v>#REF!</v>
      </c>
      <c r="X11" s="178" t="e">
        <f>#REF!+#REF!+#REF!+#REF!+X12+X15+X18+X21+#REF!+#REF!+X24+#REF!+X35+X38+X44</f>
        <v>#REF!</v>
      </c>
      <c r="Y11" s="178" t="e">
        <f>#REF!+#REF!+#REF!+#REF!+Y12+Y15+Y18+Y21+#REF!+#REF!+Y24+#REF!+Y35+Y38+Y44</f>
        <v>#REF!</v>
      </c>
      <c r="Z11" s="178" t="e">
        <f>#REF!+#REF!+#REF!+#REF!+Z12+Z15+Z18+Z21+#REF!+#REF!+Z24+#REF!+Z35+Z38+Z44</f>
        <v>#REF!</v>
      </c>
      <c r="AA11" s="178" t="e">
        <f>#REF!+#REF!+#REF!+#REF!+AA12+AA15+AA18+AA21+#REF!+#REF!+AA24+#REF!+AA35+AA38+AA44</f>
        <v>#REF!</v>
      </c>
      <c r="AB11" s="178">
        <f>AB12+AB15+AB21+AB35+AB38+AB18+AB44+AB24</f>
        <v>44029.387</v>
      </c>
      <c r="AC11" s="178" t="e">
        <f>#REF!+#REF!+#REF!+#REF!+#REF!+#REF!+AC12+AC15+#REF!+AC18+#REF!+AC21+#REF!+#REF!+#REF!+#REF!+AC24+#REF!+AC35+AC38+#REF!+#REF!+AC44</f>
        <v>#REF!</v>
      </c>
      <c r="AD11" s="178" t="e">
        <f t="shared" si="1"/>
        <v>#REF!</v>
      </c>
      <c r="AE11" s="178" t="e">
        <f>#REF!+#REF!+#REF!+#REF!+#REF!+#REF!+AE12+AE15+#REF!+AE18+#REF!+AE21+#REF!+#REF!+#REF!+#REF!+AE24+#REF!+AE35+AE38+#REF!+#REF!+AE44</f>
        <v>#REF!</v>
      </c>
      <c r="AF11" s="178" t="e">
        <f>#REF!+#REF!+#REF!+#REF!+#REF!+#REF!+AF12+AF15+#REF!+AF18+#REF!+AF21+#REF!+#REF!+#REF!+#REF!+AF24+#REF!+AF35+AF38+#REF!+#REF!+AF44</f>
        <v>#REF!</v>
      </c>
      <c r="AG11" s="178"/>
      <c r="AH11" s="205"/>
      <c r="AI11" s="195"/>
    </row>
    <row r="12" spans="1:35" s="198" customFormat="1" ht="23.25" customHeight="1">
      <c r="A12" s="195" t="s">
        <v>17</v>
      </c>
      <c r="B12" s="196" t="s">
        <v>124</v>
      </c>
      <c r="C12" s="197"/>
      <c r="D12" s="197"/>
      <c r="E12" s="195"/>
      <c r="F12" s="178">
        <f>F14</f>
        <v>6138</v>
      </c>
      <c r="G12" s="178">
        <f aca="true" t="shared" si="2" ref="G12:AF12">G14</f>
        <v>6138</v>
      </c>
      <c r="H12" s="178">
        <f t="shared" si="2"/>
        <v>0</v>
      </c>
      <c r="I12" s="178">
        <f t="shared" si="2"/>
        <v>0</v>
      </c>
      <c r="J12" s="178">
        <f t="shared" si="2"/>
        <v>0</v>
      </c>
      <c r="K12" s="178">
        <f t="shared" si="2"/>
        <v>10000</v>
      </c>
      <c r="L12" s="178">
        <f t="shared" si="2"/>
        <v>0</v>
      </c>
      <c r="M12" s="178">
        <f t="shared" si="2"/>
        <v>0</v>
      </c>
      <c r="N12" s="178">
        <f t="shared" si="2"/>
        <v>0</v>
      </c>
      <c r="O12" s="178">
        <f t="shared" si="2"/>
        <v>-3862</v>
      </c>
      <c r="P12" s="178"/>
      <c r="Q12" s="178">
        <f t="shared" si="2"/>
        <v>6138</v>
      </c>
      <c r="R12" s="204">
        <f t="shared" si="2"/>
        <v>125</v>
      </c>
      <c r="S12" s="204">
        <f t="shared" si="2"/>
        <v>76</v>
      </c>
      <c r="T12" s="178">
        <f t="shared" si="2"/>
        <v>125</v>
      </c>
      <c r="U12" s="178">
        <f t="shared" si="2"/>
        <v>0</v>
      </c>
      <c r="V12" s="178">
        <f t="shared" si="2"/>
        <v>1700</v>
      </c>
      <c r="W12" s="178">
        <f t="shared" si="2"/>
        <v>0</v>
      </c>
      <c r="X12" s="178">
        <f t="shared" si="2"/>
        <v>2932</v>
      </c>
      <c r="Y12" s="178">
        <f t="shared" si="2"/>
        <v>4632</v>
      </c>
      <c r="Z12" s="178">
        <f t="shared" si="2"/>
        <v>5</v>
      </c>
      <c r="AA12" s="178">
        <f t="shared" si="2"/>
        <v>4627</v>
      </c>
      <c r="AB12" s="178">
        <f t="shared" si="2"/>
        <v>4627</v>
      </c>
      <c r="AC12" s="178">
        <f t="shared" si="2"/>
        <v>4757</v>
      </c>
      <c r="AD12" s="178">
        <f t="shared" si="1"/>
        <v>4757</v>
      </c>
      <c r="AE12" s="178">
        <f t="shared" si="2"/>
        <v>1381</v>
      </c>
      <c r="AF12" s="178">
        <f t="shared" si="2"/>
        <v>400</v>
      </c>
      <c r="AG12" s="178"/>
      <c r="AH12" s="195"/>
      <c r="AI12" s="195"/>
    </row>
    <row r="13" spans="1:35" ht="23.25" customHeight="1">
      <c r="A13" s="171"/>
      <c r="B13" s="207" t="s">
        <v>167</v>
      </c>
      <c r="C13" s="192"/>
      <c r="D13" s="192"/>
      <c r="E13" s="171"/>
      <c r="F13" s="175"/>
      <c r="G13" s="175"/>
      <c r="H13" s="175"/>
      <c r="I13" s="175"/>
      <c r="J13" s="175"/>
      <c r="K13" s="175"/>
      <c r="L13" s="175"/>
      <c r="M13" s="175"/>
      <c r="N13" s="175"/>
      <c r="O13" s="175"/>
      <c r="P13" s="175"/>
      <c r="Q13" s="175"/>
      <c r="R13" s="170"/>
      <c r="S13" s="170"/>
      <c r="T13" s="175"/>
      <c r="U13" s="175"/>
      <c r="V13" s="175"/>
      <c r="W13" s="175"/>
      <c r="X13" s="175"/>
      <c r="Y13" s="175"/>
      <c r="Z13" s="175"/>
      <c r="AA13" s="175"/>
      <c r="AB13" s="175"/>
      <c r="AC13" s="175">
        <f aca="true" t="shared" si="3" ref="AC13:AC23">T13+Y13</f>
        <v>0</v>
      </c>
      <c r="AD13" s="175">
        <f t="shared" si="1"/>
        <v>0</v>
      </c>
      <c r="AE13" s="175">
        <f>Q13-R13-Y13</f>
        <v>0</v>
      </c>
      <c r="AF13" s="175"/>
      <c r="AG13" s="175"/>
      <c r="AH13" s="171"/>
      <c r="AI13" s="171"/>
    </row>
    <row r="14" spans="1:35" ht="30.75">
      <c r="A14" s="171">
        <v>1</v>
      </c>
      <c r="B14" s="189" t="s">
        <v>165</v>
      </c>
      <c r="C14" s="174">
        <v>2022</v>
      </c>
      <c r="D14" s="174">
        <v>2024</v>
      </c>
      <c r="E14" s="190" t="s">
        <v>192</v>
      </c>
      <c r="F14" s="175">
        <v>6138</v>
      </c>
      <c r="G14" s="175">
        <v>6138</v>
      </c>
      <c r="H14" s="176"/>
      <c r="I14" s="175"/>
      <c r="J14" s="175"/>
      <c r="K14" s="175">
        <v>10000</v>
      </c>
      <c r="L14" s="175"/>
      <c r="M14" s="175"/>
      <c r="N14" s="175"/>
      <c r="O14" s="175">
        <v>-3862</v>
      </c>
      <c r="P14" s="175"/>
      <c r="Q14" s="175">
        <f>SUM(K14:O14)</f>
        <v>6138</v>
      </c>
      <c r="R14" s="170">
        <v>125</v>
      </c>
      <c r="S14" s="170">
        <v>76</v>
      </c>
      <c r="T14" s="175">
        <f>J14+R14</f>
        <v>125</v>
      </c>
      <c r="U14" s="175"/>
      <c r="V14" s="175">
        <v>1700</v>
      </c>
      <c r="W14" s="175"/>
      <c r="X14" s="175">
        <v>2932</v>
      </c>
      <c r="Y14" s="175">
        <f>SUM(U14:X14)</f>
        <v>4632</v>
      </c>
      <c r="Z14" s="175">
        <v>5</v>
      </c>
      <c r="AA14" s="175">
        <v>4627</v>
      </c>
      <c r="AB14" s="175">
        <v>4627</v>
      </c>
      <c r="AC14" s="175">
        <f t="shared" si="3"/>
        <v>4757</v>
      </c>
      <c r="AD14" s="175">
        <f t="shared" si="1"/>
        <v>4757</v>
      </c>
      <c r="AE14" s="175">
        <f>Q14-R14-Y14</f>
        <v>1381</v>
      </c>
      <c r="AF14" s="175">
        <v>400</v>
      </c>
      <c r="AG14" s="209">
        <f>(T14+Y14+AF14)/G14</f>
        <v>0.8401759530791789</v>
      </c>
      <c r="AH14" s="171" t="s">
        <v>161</v>
      </c>
      <c r="AI14" s="171"/>
    </row>
    <row r="15" spans="1:35" s="198" customFormat="1" ht="23.25" customHeight="1">
      <c r="A15" s="195" t="s">
        <v>18</v>
      </c>
      <c r="B15" s="196" t="s">
        <v>125</v>
      </c>
      <c r="C15" s="197"/>
      <c r="D15" s="197"/>
      <c r="E15" s="195"/>
      <c r="F15" s="178">
        <f aca="true" t="shared" si="4" ref="F15:O15">SUM(F16:F17)</f>
        <v>34041</v>
      </c>
      <c r="G15" s="178">
        <f t="shared" si="4"/>
        <v>34041</v>
      </c>
      <c r="H15" s="178">
        <f t="shared" si="4"/>
        <v>0</v>
      </c>
      <c r="I15" s="178">
        <f t="shared" si="4"/>
        <v>30506</v>
      </c>
      <c r="J15" s="178">
        <f t="shared" si="4"/>
        <v>30869</v>
      </c>
      <c r="K15" s="178">
        <f t="shared" si="4"/>
        <v>0</v>
      </c>
      <c r="L15" s="178">
        <f t="shared" si="4"/>
        <v>0</v>
      </c>
      <c r="M15" s="178">
        <f t="shared" si="4"/>
        <v>0</v>
      </c>
      <c r="N15" s="178">
        <f t="shared" si="4"/>
        <v>141</v>
      </c>
      <c r="O15" s="178">
        <f t="shared" si="4"/>
        <v>0</v>
      </c>
      <c r="P15" s="178"/>
      <c r="Q15" s="178">
        <f aca="true" t="shared" si="5" ref="Q15:AG15">SUM(Q16:Q17)</f>
        <v>141</v>
      </c>
      <c r="R15" s="178">
        <f t="shared" si="5"/>
        <v>0</v>
      </c>
      <c r="S15" s="178">
        <f t="shared" si="5"/>
        <v>0</v>
      </c>
      <c r="T15" s="178">
        <f t="shared" si="5"/>
        <v>30869</v>
      </c>
      <c r="U15" s="178">
        <f t="shared" si="5"/>
        <v>0</v>
      </c>
      <c r="V15" s="178">
        <f t="shared" si="5"/>
        <v>0</v>
      </c>
      <c r="W15" s="178">
        <f t="shared" si="5"/>
        <v>141</v>
      </c>
      <c r="X15" s="178">
        <f t="shared" si="5"/>
        <v>0</v>
      </c>
      <c r="Y15" s="178">
        <f t="shared" si="5"/>
        <v>141</v>
      </c>
      <c r="Z15" s="178">
        <f t="shared" si="5"/>
        <v>135.108</v>
      </c>
      <c r="AA15" s="178">
        <f t="shared" si="5"/>
        <v>5.891999999999996</v>
      </c>
      <c r="AB15" s="178">
        <f t="shared" si="5"/>
        <v>5.891999999999996</v>
      </c>
      <c r="AC15" s="178">
        <f t="shared" si="5"/>
        <v>31010</v>
      </c>
      <c r="AD15" s="178">
        <f t="shared" si="5"/>
        <v>141</v>
      </c>
      <c r="AE15" s="178">
        <f t="shared" si="5"/>
        <v>0</v>
      </c>
      <c r="AF15" s="178">
        <f t="shared" si="5"/>
        <v>0</v>
      </c>
      <c r="AG15" s="178">
        <f t="shared" si="5"/>
        <v>0</v>
      </c>
      <c r="AH15" s="195"/>
      <c r="AI15" s="195"/>
    </row>
    <row r="16" spans="1:35" s="194" customFormat="1" ht="23.25" customHeight="1">
      <c r="A16" s="191"/>
      <c r="B16" s="207" t="s">
        <v>123</v>
      </c>
      <c r="C16" s="192"/>
      <c r="D16" s="192"/>
      <c r="E16" s="191"/>
      <c r="F16" s="188"/>
      <c r="G16" s="188"/>
      <c r="H16" s="193"/>
      <c r="I16" s="188"/>
      <c r="J16" s="188"/>
      <c r="K16" s="188"/>
      <c r="L16" s="188"/>
      <c r="M16" s="188"/>
      <c r="N16" s="188"/>
      <c r="O16" s="188"/>
      <c r="P16" s="188"/>
      <c r="Q16" s="188"/>
      <c r="R16" s="177"/>
      <c r="S16" s="177"/>
      <c r="T16" s="175"/>
      <c r="U16" s="175"/>
      <c r="V16" s="175"/>
      <c r="W16" s="175"/>
      <c r="X16" s="175"/>
      <c r="Y16" s="175">
        <f>SUM(U16:X16)</f>
        <v>0</v>
      </c>
      <c r="Z16" s="175"/>
      <c r="AA16" s="175"/>
      <c r="AB16" s="175"/>
      <c r="AC16" s="175">
        <f t="shared" si="3"/>
        <v>0</v>
      </c>
      <c r="AD16" s="175">
        <f t="shared" si="1"/>
        <v>0</v>
      </c>
      <c r="AE16" s="175">
        <f>Q16-R16-Y16</f>
        <v>0</v>
      </c>
      <c r="AF16" s="175"/>
      <c r="AG16" s="175"/>
      <c r="AH16" s="191"/>
      <c r="AI16" s="191"/>
    </row>
    <row r="17" spans="1:35" ht="30.75">
      <c r="A17" s="171">
        <v>2</v>
      </c>
      <c r="B17" s="208" t="s">
        <v>209</v>
      </c>
      <c r="C17" s="174">
        <v>2004</v>
      </c>
      <c r="D17" s="174">
        <v>2011</v>
      </c>
      <c r="E17" s="171" t="s">
        <v>210</v>
      </c>
      <c r="F17" s="175">
        <v>34041</v>
      </c>
      <c r="G17" s="175">
        <v>34041</v>
      </c>
      <c r="H17" s="176" t="s">
        <v>211</v>
      </c>
      <c r="I17" s="175">
        <v>30506</v>
      </c>
      <c r="J17" s="175">
        <v>30869</v>
      </c>
      <c r="K17" s="175"/>
      <c r="L17" s="175"/>
      <c r="M17" s="175"/>
      <c r="N17" s="175">
        <v>141</v>
      </c>
      <c r="O17" s="175"/>
      <c r="P17" s="175"/>
      <c r="Q17" s="175">
        <f>SUM(K17:O17)</f>
        <v>141</v>
      </c>
      <c r="R17" s="170"/>
      <c r="S17" s="170"/>
      <c r="T17" s="175">
        <f>J17+R17</f>
        <v>30869</v>
      </c>
      <c r="U17" s="175"/>
      <c r="V17" s="175"/>
      <c r="W17" s="175">
        <v>141</v>
      </c>
      <c r="X17" s="175"/>
      <c r="Y17" s="175">
        <f>SUM(U17:X17)</f>
        <v>141</v>
      </c>
      <c r="Z17" s="213">
        <v>135.108</v>
      </c>
      <c r="AA17" s="213">
        <f>Y17-Z17</f>
        <v>5.891999999999996</v>
      </c>
      <c r="AB17" s="175">
        <f>AA17</f>
        <v>5.891999999999996</v>
      </c>
      <c r="AC17" s="175">
        <f t="shared" si="3"/>
        <v>31010</v>
      </c>
      <c r="AD17" s="175">
        <f t="shared" si="1"/>
        <v>141</v>
      </c>
      <c r="AE17" s="175">
        <f>Q17-R17-Y17</f>
        <v>0</v>
      </c>
      <c r="AF17" s="175">
        <f>Q17-R17-Y17</f>
        <v>0</v>
      </c>
      <c r="AG17" s="209"/>
      <c r="AH17" s="171" t="s">
        <v>92</v>
      </c>
      <c r="AI17" s="171"/>
    </row>
    <row r="18" spans="1:35" s="198" customFormat="1" ht="21.75" customHeight="1">
      <c r="A18" s="195" t="s">
        <v>39</v>
      </c>
      <c r="B18" s="196" t="s">
        <v>128</v>
      </c>
      <c r="C18" s="197"/>
      <c r="D18" s="197"/>
      <c r="E18" s="195"/>
      <c r="F18" s="178">
        <f aca="true" t="shared" si="6" ref="F18:O18">SUM(F19:F20)</f>
        <v>23747</v>
      </c>
      <c r="G18" s="178">
        <f t="shared" si="6"/>
        <v>23747</v>
      </c>
      <c r="H18" s="178">
        <f t="shared" si="6"/>
        <v>0</v>
      </c>
      <c r="I18" s="178">
        <f t="shared" si="6"/>
        <v>0</v>
      </c>
      <c r="J18" s="178">
        <f t="shared" si="6"/>
        <v>0</v>
      </c>
      <c r="K18" s="178">
        <f t="shared" si="6"/>
        <v>23750</v>
      </c>
      <c r="L18" s="178">
        <f t="shared" si="6"/>
        <v>0</v>
      </c>
      <c r="M18" s="178">
        <f t="shared" si="6"/>
        <v>0</v>
      </c>
      <c r="N18" s="178">
        <f t="shared" si="6"/>
        <v>0</v>
      </c>
      <c r="O18" s="178">
        <f t="shared" si="6"/>
        <v>-3</v>
      </c>
      <c r="P18" s="178"/>
      <c r="Q18" s="178">
        <f aca="true" t="shared" si="7" ref="Q18:AB18">SUM(Q19:Q20)</f>
        <v>23747</v>
      </c>
      <c r="R18" s="204">
        <f t="shared" si="7"/>
        <v>6405</v>
      </c>
      <c r="S18" s="204">
        <f t="shared" si="7"/>
        <v>759</v>
      </c>
      <c r="T18" s="178">
        <f t="shared" si="7"/>
        <v>6405</v>
      </c>
      <c r="U18" s="178">
        <f t="shared" si="7"/>
        <v>12600</v>
      </c>
      <c r="V18" s="178">
        <f t="shared" si="7"/>
        <v>0</v>
      </c>
      <c r="W18" s="178">
        <f t="shared" si="7"/>
        <v>0</v>
      </c>
      <c r="X18" s="178">
        <f t="shared" si="7"/>
        <v>0</v>
      </c>
      <c r="Y18" s="178">
        <f t="shared" si="7"/>
        <v>12600</v>
      </c>
      <c r="Z18" s="178">
        <f t="shared" si="7"/>
        <v>10330.578585</v>
      </c>
      <c r="AA18" s="178">
        <f t="shared" si="7"/>
        <v>2269.421415</v>
      </c>
      <c r="AB18" s="178">
        <f t="shared" si="7"/>
        <v>2269</v>
      </c>
      <c r="AC18" s="178">
        <f>SUM(AC19:AC20)</f>
        <v>19005</v>
      </c>
      <c r="AD18" s="178">
        <f t="shared" si="1"/>
        <v>19005</v>
      </c>
      <c r="AE18" s="178">
        <f>SUM(AE19:AE20)</f>
        <v>4742</v>
      </c>
      <c r="AF18" s="178">
        <f>SUM(AF19:AF20)</f>
        <v>4742</v>
      </c>
      <c r="AG18" s="178"/>
      <c r="AH18" s="195"/>
      <c r="AI18" s="195"/>
    </row>
    <row r="19" spans="1:35" s="194" customFormat="1" ht="21.75" customHeight="1">
      <c r="A19" s="191"/>
      <c r="B19" s="207" t="s">
        <v>167</v>
      </c>
      <c r="C19" s="192"/>
      <c r="D19" s="192"/>
      <c r="E19" s="191"/>
      <c r="F19" s="188"/>
      <c r="G19" s="188"/>
      <c r="H19" s="193"/>
      <c r="I19" s="188"/>
      <c r="J19" s="188"/>
      <c r="K19" s="188"/>
      <c r="L19" s="188"/>
      <c r="M19" s="188"/>
      <c r="N19" s="188"/>
      <c r="O19" s="188"/>
      <c r="P19" s="188"/>
      <c r="Q19" s="188"/>
      <c r="R19" s="177"/>
      <c r="S19" s="177"/>
      <c r="T19" s="175"/>
      <c r="U19" s="175"/>
      <c r="V19" s="175"/>
      <c r="W19" s="175"/>
      <c r="X19" s="175"/>
      <c r="Y19" s="175">
        <f>SUM(U19:X19)</f>
        <v>0</v>
      </c>
      <c r="Z19" s="175"/>
      <c r="AA19" s="175"/>
      <c r="AB19" s="175"/>
      <c r="AC19" s="175">
        <f t="shared" si="3"/>
        <v>0</v>
      </c>
      <c r="AD19" s="175">
        <f t="shared" si="1"/>
        <v>0</v>
      </c>
      <c r="AE19" s="175">
        <f>Q19-R19-Y19</f>
        <v>0</v>
      </c>
      <c r="AF19" s="175"/>
      <c r="AG19" s="175"/>
      <c r="AH19" s="191"/>
      <c r="AI19" s="191"/>
    </row>
    <row r="20" spans="1:35" ht="30.75">
      <c r="A20" s="171">
        <v>3</v>
      </c>
      <c r="B20" s="189" t="s">
        <v>130</v>
      </c>
      <c r="C20" s="174">
        <v>2021</v>
      </c>
      <c r="D20" s="174">
        <v>2022</v>
      </c>
      <c r="E20" s="190" t="s">
        <v>163</v>
      </c>
      <c r="F20" s="175">
        <v>23747</v>
      </c>
      <c r="G20" s="175">
        <v>23747</v>
      </c>
      <c r="H20" s="176"/>
      <c r="I20" s="175"/>
      <c r="J20" s="175"/>
      <c r="K20" s="175">
        <v>23750</v>
      </c>
      <c r="L20" s="175"/>
      <c r="M20" s="175"/>
      <c r="N20" s="175"/>
      <c r="O20" s="175">
        <v>-3</v>
      </c>
      <c r="P20" s="175"/>
      <c r="Q20" s="175">
        <f>SUM(K20:O20)</f>
        <v>23747</v>
      </c>
      <c r="R20" s="170">
        <v>6405</v>
      </c>
      <c r="S20" s="170">
        <v>759</v>
      </c>
      <c r="T20" s="175">
        <f>J20+R20</f>
        <v>6405</v>
      </c>
      <c r="U20" s="175">
        <v>12600</v>
      </c>
      <c r="V20" s="175"/>
      <c r="W20" s="175"/>
      <c r="X20" s="175"/>
      <c r="Y20" s="175">
        <f>SUM(U20:X20)</f>
        <v>12600</v>
      </c>
      <c r="Z20" s="175">
        <v>10330.578585</v>
      </c>
      <c r="AA20" s="175">
        <v>2269.421415</v>
      </c>
      <c r="AB20" s="175">
        <v>2269</v>
      </c>
      <c r="AC20" s="175">
        <f t="shared" si="3"/>
        <v>19005</v>
      </c>
      <c r="AD20" s="175">
        <f t="shared" si="1"/>
        <v>19005</v>
      </c>
      <c r="AE20" s="175">
        <f>Q20-R20-Y20</f>
        <v>4742</v>
      </c>
      <c r="AF20" s="175">
        <f>Q20-R20-Y20</f>
        <v>4742</v>
      </c>
      <c r="AG20" s="209">
        <f>(T20+Y20+AF20)/G20</f>
        <v>1</v>
      </c>
      <c r="AH20" s="171" t="s">
        <v>129</v>
      </c>
      <c r="AI20" s="171"/>
    </row>
    <row r="21" spans="1:35" s="198" customFormat="1" ht="24" customHeight="1">
      <c r="A21" s="195" t="s">
        <v>44</v>
      </c>
      <c r="B21" s="196" t="s">
        <v>131</v>
      </c>
      <c r="C21" s="197"/>
      <c r="D21" s="197"/>
      <c r="E21" s="195"/>
      <c r="F21" s="178">
        <f aca="true" t="shared" si="8" ref="F21:O21">SUM(F22:F23)</f>
        <v>77998</v>
      </c>
      <c r="G21" s="178">
        <f t="shared" si="8"/>
        <v>15680</v>
      </c>
      <c r="H21" s="178">
        <f t="shared" si="8"/>
        <v>0</v>
      </c>
      <c r="I21" s="178">
        <f t="shared" si="8"/>
        <v>0</v>
      </c>
      <c r="J21" s="178">
        <f t="shared" si="8"/>
        <v>9000</v>
      </c>
      <c r="K21" s="178">
        <f t="shared" si="8"/>
        <v>6000</v>
      </c>
      <c r="L21" s="178">
        <f t="shared" si="8"/>
        <v>0</v>
      </c>
      <c r="M21" s="178">
        <f t="shared" si="8"/>
        <v>0</v>
      </c>
      <c r="N21" s="178">
        <f t="shared" si="8"/>
        <v>0</v>
      </c>
      <c r="O21" s="178">
        <f t="shared" si="8"/>
        <v>0</v>
      </c>
      <c r="P21" s="178"/>
      <c r="Q21" s="178">
        <f aca="true" t="shared" si="9" ref="Q21:AG21">SUM(Q22:Q23)</f>
        <v>6000</v>
      </c>
      <c r="R21" s="178">
        <f t="shared" si="9"/>
        <v>3000</v>
      </c>
      <c r="S21" s="178">
        <f t="shared" si="9"/>
        <v>2512</v>
      </c>
      <c r="T21" s="178">
        <f t="shared" si="9"/>
        <v>12000</v>
      </c>
      <c r="U21" s="178">
        <f t="shared" si="9"/>
        <v>3000</v>
      </c>
      <c r="V21" s="178">
        <f t="shared" si="9"/>
        <v>0</v>
      </c>
      <c r="W21" s="178">
        <f t="shared" si="9"/>
        <v>0</v>
      </c>
      <c r="X21" s="178">
        <f t="shared" si="9"/>
        <v>-500</v>
      </c>
      <c r="Y21" s="178">
        <f t="shared" si="9"/>
        <v>2500</v>
      </c>
      <c r="Z21" s="178">
        <f t="shared" si="9"/>
        <v>1651.203</v>
      </c>
      <c r="AA21" s="178">
        <f t="shared" si="9"/>
        <v>848.797</v>
      </c>
      <c r="AB21" s="178">
        <f t="shared" si="9"/>
        <v>848.797</v>
      </c>
      <c r="AC21" s="178">
        <f t="shared" si="9"/>
        <v>14500</v>
      </c>
      <c r="AD21" s="178">
        <f t="shared" si="9"/>
        <v>5500</v>
      </c>
      <c r="AE21" s="178">
        <f t="shared" si="9"/>
        <v>500</v>
      </c>
      <c r="AF21" s="178">
        <f t="shared" si="9"/>
        <v>500</v>
      </c>
      <c r="AG21" s="178">
        <f t="shared" si="9"/>
        <v>1</v>
      </c>
      <c r="AH21" s="195"/>
      <c r="AI21" s="195"/>
    </row>
    <row r="22" spans="1:35" s="194" customFormat="1" ht="24" customHeight="1">
      <c r="A22" s="191"/>
      <c r="B22" s="207" t="s">
        <v>123</v>
      </c>
      <c r="C22" s="192"/>
      <c r="D22" s="192"/>
      <c r="E22" s="191"/>
      <c r="F22" s="188"/>
      <c r="G22" s="188"/>
      <c r="H22" s="193"/>
      <c r="I22" s="188"/>
      <c r="J22" s="188"/>
      <c r="K22" s="188"/>
      <c r="L22" s="188"/>
      <c r="M22" s="188"/>
      <c r="N22" s="188"/>
      <c r="O22" s="188"/>
      <c r="P22" s="188"/>
      <c r="Q22" s="188"/>
      <c r="R22" s="177"/>
      <c r="S22" s="177"/>
      <c r="T22" s="175"/>
      <c r="U22" s="175"/>
      <c r="V22" s="175"/>
      <c r="W22" s="175"/>
      <c r="X22" s="175"/>
      <c r="Y22" s="175"/>
      <c r="Z22" s="175"/>
      <c r="AA22" s="175"/>
      <c r="AB22" s="175"/>
      <c r="AC22" s="175">
        <f t="shared" si="3"/>
        <v>0</v>
      </c>
      <c r="AD22" s="175">
        <f aca="true" t="shared" si="10" ref="AD22:AD35">R22+Y22</f>
        <v>0</v>
      </c>
      <c r="AE22" s="175">
        <f>Q22-R22-Y22</f>
        <v>0</v>
      </c>
      <c r="AF22" s="175"/>
      <c r="AG22" s="175"/>
      <c r="AH22" s="191"/>
      <c r="AI22" s="191"/>
    </row>
    <row r="23" spans="1:35" ht="40.5" customHeight="1">
      <c r="A23" s="171">
        <v>4</v>
      </c>
      <c r="B23" s="208" t="s">
        <v>132</v>
      </c>
      <c r="C23" s="174">
        <v>2021</v>
      </c>
      <c r="D23" s="174">
        <v>2023</v>
      </c>
      <c r="E23" s="190" t="s">
        <v>133</v>
      </c>
      <c r="F23" s="175">
        <v>77998</v>
      </c>
      <c r="G23" s="175">
        <v>15680</v>
      </c>
      <c r="H23" s="176"/>
      <c r="I23" s="175"/>
      <c r="J23" s="175">
        <v>9000</v>
      </c>
      <c r="K23" s="175">
        <v>6000</v>
      </c>
      <c r="L23" s="175"/>
      <c r="M23" s="175"/>
      <c r="N23" s="175"/>
      <c r="O23" s="175"/>
      <c r="P23" s="175"/>
      <c r="Q23" s="175">
        <f>SUM(K23:O23)</f>
        <v>6000</v>
      </c>
      <c r="R23" s="170">
        <v>3000</v>
      </c>
      <c r="S23" s="170">
        <v>2512</v>
      </c>
      <c r="T23" s="175">
        <f>J23+R23</f>
        <v>12000</v>
      </c>
      <c r="U23" s="175">
        <v>3000</v>
      </c>
      <c r="V23" s="175"/>
      <c r="W23" s="175"/>
      <c r="X23" s="175">
        <v>-500</v>
      </c>
      <c r="Y23" s="175">
        <f>SUM(U23:X23)</f>
        <v>2500</v>
      </c>
      <c r="Z23" s="175">
        <v>1651.203</v>
      </c>
      <c r="AA23" s="175">
        <f>Y23-Z23</f>
        <v>848.797</v>
      </c>
      <c r="AB23" s="175">
        <f>AA23</f>
        <v>848.797</v>
      </c>
      <c r="AC23" s="175">
        <f t="shared" si="3"/>
        <v>14500</v>
      </c>
      <c r="AD23" s="175">
        <f t="shared" si="10"/>
        <v>5500</v>
      </c>
      <c r="AE23" s="175">
        <f>Q23-R23-Y23</f>
        <v>500</v>
      </c>
      <c r="AF23" s="175">
        <f>Q23-R23-Y23</f>
        <v>500</v>
      </c>
      <c r="AG23" s="209">
        <v>1</v>
      </c>
      <c r="AH23" s="171" t="s">
        <v>138</v>
      </c>
      <c r="AI23" s="171"/>
    </row>
    <row r="24" spans="1:35" s="198" customFormat="1" ht="28.5" customHeight="1">
      <c r="A24" s="195" t="s">
        <v>69</v>
      </c>
      <c r="B24" s="196" t="s">
        <v>134</v>
      </c>
      <c r="C24" s="197"/>
      <c r="D24" s="197"/>
      <c r="E24" s="195"/>
      <c r="F24" s="178">
        <f>SUM(F25:F25)</f>
        <v>39142.79294</v>
      </c>
      <c r="G24" s="178">
        <f>SUM(G25:G25)</f>
        <v>39142.79294</v>
      </c>
      <c r="H24" s="178">
        <f>SUM(H25:H25)</f>
        <v>0</v>
      </c>
      <c r="I24" s="178">
        <f>SUM(I25:I25)</f>
        <v>0</v>
      </c>
      <c r="J24" s="178">
        <f>SUM(J25:J25)</f>
        <v>10000</v>
      </c>
      <c r="K24" s="178">
        <f aca="true" t="shared" si="11" ref="K24:AC24">SUM(K25:K26)</f>
        <v>29143</v>
      </c>
      <c r="L24" s="178">
        <f t="shared" si="11"/>
        <v>0</v>
      </c>
      <c r="M24" s="178">
        <f t="shared" si="11"/>
        <v>0</v>
      </c>
      <c r="N24" s="178">
        <f t="shared" si="11"/>
        <v>16250</v>
      </c>
      <c r="O24" s="178">
        <f t="shared" si="11"/>
        <v>0</v>
      </c>
      <c r="P24" s="178">
        <f t="shared" si="11"/>
        <v>0</v>
      </c>
      <c r="Q24" s="178">
        <f t="shared" si="11"/>
        <v>45393</v>
      </c>
      <c r="R24" s="178">
        <f t="shared" si="11"/>
        <v>20000</v>
      </c>
      <c r="S24" s="178">
        <f t="shared" si="11"/>
        <v>20000</v>
      </c>
      <c r="T24" s="178">
        <f t="shared" si="11"/>
        <v>30000</v>
      </c>
      <c r="U24" s="178">
        <f t="shared" si="11"/>
        <v>9143</v>
      </c>
      <c r="V24" s="178">
        <f t="shared" si="11"/>
        <v>0</v>
      </c>
      <c r="W24" s="178">
        <f t="shared" si="11"/>
        <v>6050</v>
      </c>
      <c r="X24" s="178">
        <f t="shared" si="11"/>
        <v>-6000</v>
      </c>
      <c r="Y24" s="178">
        <f t="shared" si="11"/>
        <v>9193</v>
      </c>
      <c r="Z24" s="178">
        <f t="shared" si="11"/>
        <v>594.406</v>
      </c>
      <c r="AA24" s="178">
        <f t="shared" si="11"/>
        <v>8598.594000000001</v>
      </c>
      <c r="AB24" s="178">
        <f t="shared" si="11"/>
        <v>8598.594000000001</v>
      </c>
      <c r="AC24" s="178">
        <f t="shared" si="11"/>
        <v>39193</v>
      </c>
      <c r="AD24" s="178">
        <f t="shared" si="10"/>
        <v>29193</v>
      </c>
      <c r="AE24" s="178">
        <f>SUM(AE25:AE26)</f>
        <v>16200</v>
      </c>
      <c r="AF24" s="178">
        <f>SUM(AF25:AF26)</f>
        <v>2950</v>
      </c>
      <c r="AG24" s="178"/>
      <c r="AH24" s="195"/>
      <c r="AI24" s="195"/>
    </row>
    <row r="25" spans="1:35" ht="44.25" customHeight="1">
      <c r="A25" s="171">
        <v>5</v>
      </c>
      <c r="B25" s="189" t="s">
        <v>135</v>
      </c>
      <c r="C25" s="174"/>
      <c r="D25" s="174"/>
      <c r="E25" s="171" t="s">
        <v>191</v>
      </c>
      <c r="F25" s="175">
        <v>39142.79294</v>
      </c>
      <c r="G25" s="175">
        <v>39142.79294</v>
      </c>
      <c r="H25" s="176"/>
      <c r="I25" s="175"/>
      <c r="J25" s="175">
        <v>10000</v>
      </c>
      <c r="K25" s="175">
        <v>29143</v>
      </c>
      <c r="L25" s="175"/>
      <c r="M25" s="175"/>
      <c r="N25" s="175"/>
      <c r="O25" s="175"/>
      <c r="P25" s="175"/>
      <c r="Q25" s="175">
        <f>SUM(K25:O25)</f>
        <v>29143</v>
      </c>
      <c r="R25" s="170">
        <v>20000</v>
      </c>
      <c r="S25" s="170">
        <v>20000</v>
      </c>
      <c r="T25" s="175">
        <f>J25+R25</f>
        <v>30000</v>
      </c>
      <c r="U25" s="175">
        <v>9143</v>
      </c>
      <c r="V25" s="175"/>
      <c r="W25" s="175">
        <v>-2200</v>
      </c>
      <c r="X25" s="175">
        <v>-6000</v>
      </c>
      <c r="Y25" s="175">
        <f aca="true" t="shared" si="12" ref="Y25:Y34">SUM(U25:X25)</f>
        <v>943</v>
      </c>
      <c r="Z25" s="175">
        <v>493</v>
      </c>
      <c r="AA25" s="175">
        <f>Y25-Z25</f>
        <v>450</v>
      </c>
      <c r="AB25" s="175">
        <v>450</v>
      </c>
      <c r="AC25" s="175">
        <f aca="true" t="shared" si="13" ref="AC25:AC34">T25+Y25</f>
        <v>30943</v>
      </c>
      <c r="AD25" s="175">
        <f t="shared" si="10"/>
        <v>20943</v>
      </c>
      <c r="AE25" s="175">
        <f>Q25-R25-Y25</f>
        <v>8200</v>
      </c>
      <c r="AF25" s="175">
        <v>2950</v>
      </c>
      <c r="AG25" s="209">
        <f>(T25+Y25+AF25)/G25</f>
        <v>0.8658809822782155</v>
      </c>
      <c r="AH25" s="171" t="s">
        <v>136</v>
      </c>
      <c r="AI25" s="171"/>
    </row>
    <row r="26" spans="1:35" ht="24.75" customHeight="1">
      <c r="A26" s="171">
        <v>6</v>
      </c>
      <c r="B26" s="211" t="s">
        <v>212</v>
      </c>
      <c r="C26" s="174"/>
      <c r="D26" s="174"/>
      <c r="E26" s="171"/>
      <c r="F26" s="175"/>
      <c r="G26" s="175"/>
      <c r="H26" s="176"/>
      <c r="I26" s="175"/>
      <c r="J26" s="175"/>
      <c r="K26" s="175"/>
      <c r="L26" s="175"/>
      <c r="M26" s="175"/>
      <c r="N26" s="175">
        <f>SUM(N27:N34)</f>
        <v>16250</v>
      </c>
      <c r="O26" s="175"/>
      <c r="P26" s="175"/>
      <c r="Q26" s="175">
        <f>SUM(Q28:Q34)</f>
        <v>16250</v>
      </c>
      <c r="R26" s="175">
        <f aca="true" t="shared" si="14" ref="R26:X26">SUM(R27:R34)</f>
        <v>0</v>
      </c>
      <c r="S26" s="175">
        <f t="shared" si="14"/>
        <v>0</v>
      </c>
      <c r="T26" s="175">
        <f t="shared" si="14"/>
        <v>0</v>
      </c>
      <c r="U26" s="175">
        <f t="shared" si="14"/>
        <v>0</v>
      </c>
      <c r="V26" s="175">
        <f t="shared" si="14"/>
        <v>0</v>
      </c>
      <c r="W26" s="175">
        <f t="shared" si="14"/>
        <v>8250</v>
      </c>
      <c r="X26" s="175">
        <f t="shared" si="14"/>
        <v>0</v>
      </c>
      <c r="Y26" s="175">
        <f aca="true" t="shared" si="15" ref="Y26:AG26">SUM(Y28:Y34)</f>
        <v>8250</v>
      </c>
      <c r="Z26" s="175">
        <f t="shared" si="15"/>
        <v>101.406</v>
      </c>
      <c r="AA26" s="175">
        <f t="shared" si="15"/>
        <v>8148.594</v>
      </c>
      <c r="AB26" s="175">
        <f t="shared" si="15"/>
        <v>8148.594</v>
      </c>
      <c r="AC26" s="175">
        <f t="shared" si="15"/>
        <v>8250</v>
      </c>
      <c r="AD26" s="175">
        <f t="shared" si="15"/>
        <v>8250</v>
      </c>
      <c r="AE26" s="175">
        <f t="shared" si="15"/>
        <v>8000</v>
      </c>
      <c r="AF26" s="175">
        <f t="shared" si="15"/>
        <v>0</v>
      </c>
      <c r="AG26" s="175">
        <f t="shared" si="15"/>
        <v>0</v>
      </c>
      <c r="AH26" s="171"/>
      <c r="AI26" s="171"/>
    </row>
    <row r="27" spans="1:35" ht="24.75" customHeight="1">
      <c r="A27" s="171"/>
      <c r="B27" s="187" t="s">
        <v>198</v>
      </c>
      <c r="C27" s="174"/>
      <c r="D27" s="174"/>
      <c r="E27" s="171"/>
      <c r="F27" s="175"/>
      <c r="G27" s="175"/>
      <c r="H27" s="176"/>
      <c r="I27" s="175"/>
      <c r="J27" s="175"/>
      <c r="K27" s="175"/>
      <c r="L27" s="175"/>
      <c r="M27" s="175"/>
      <c r="N27" s="170"/>
      <c r="O27" s="175"/>
      <c r="P27" s="175"/>
      <c r="Q27" s="175">
        <f aca="true" t="shared" si="16" ref="Q27:Q34">SUM(K27:O27)</f>
        <v>0</v>
      </c>
      <c r="R27" s="170"/>
      <c r="S27" s="170"/>
      <c r="T27" s="175"/>
      <c r="U27" s="175"/>
      <c r="V27" s="175"/>
      <c r="W27" s="175"/>
      <c r="X27" s="175"/>
      <c r="Y27" s="175">
        <f t="shared" si="12"/>
        <v>0</v>
      </c>
      <c r="Z27" s="175"/>
      <c r="AA27" s="175"/>
      <c r="AB27" s="175"/>
      <c r="AC27" s="175">
        <f t="shared" si="13"/>
        <v>0</v>
      </c>
      <c r="AD27" s="175">
        <f t="shared" si="10"/>
        <v>0</v>
      </c>
      <c r="AE27" s="175">
        <f aca="true" t="shared" si="17" ref="AE27:AE34">Q27-R27-Y27</f>
        <v>0</v>
      </c>
      <c r="AF27" s="170"/>
      <c r="AG27" s="175"/>
      <c r="AH27" s="171"/>
      <c r="AI27" s="171"/>
    </row>
    <row r="28" spans="1:35" ht="30.75">
      <c r="A28" s="171" t="s">
        <v>204</v>
      </c>
      <c r="B28" s="172" t="s">
        <v>156</v>
      </c>
      <c r="C28" s="174"/>
      <c r="D28" s="174"/>
      <c r="E28" s="171"/>
      <c r="F28" s="175"/>
      <c r="G28" s="175"/>
      <c r="H28" s="176"/>
      <c r="I28" s="175"/>
      <c r="J28" s="175"/>
      <c r="K28" s="175"/>
      <c r="L28" s="175"/>
      <c r="M28" s="175"/>
      <c r="N28" s="170">
        <v>2000</v>
      </c>
      <c r="O28" s="175"/>
      <c r="P28" s="175"/>
      <c r="Q28" s="175">
        <f t="shared" si="16"/>
        <v>2000</v>
      </c>
      <c r="R28" s="170"/>
      <c r="S28" s="170"/>
      <c r="T28" s="175"/>
      <c r="U28" s="175"/>
      <c r="V28" s="175"/>
      <c r="W28" s="175">
        <v>1000</v>
      </c>
      <c r="X28" s="175"/>
      <c r="Y28" s="175">
        <f t="shared" si="12"/>
        <v>1000</v>
      </c>
      <c r="Z28" s="175">
        <v>0</v>
      </c>
      <c r="AA28" s="175">
        <v>1000</v>
      </c>
      <c r="AB28" s="175">
        <f>AA28</f>
        <v>1000</v>
      </c>
      <c r="AC28" s="175">
        <f t="shared" si="13"/>
        <v>1000</v>
      </c>
      <c r="AD28" s="175">
        <f t="shared" si="10"/>
        <v>1000</v>
      </c>
      <c r="AE28" s="175">
        <f t="shared" si="17"/>
        <v>1000</v>
      </c>
      <c r="AF28" s="170"/>
      <c r="AG28" s="175"/>
      <c r="AH28" s="171" t="s">
        <v>84</v>
      </c>
      <c r="AI28" s="171"/>
    </row>
    <row r="29" spans="1:35" ht="32.25" customHeight="1">
      <c r="A29" s="171" t="s">
        <v>204</v>
      </c>
      <c r="B29" s="172" t="s">
        <v>151</v>
      </c>
      <c r="C29" s="174"/>
      <c r="D29" s="174"/>
      <c r="E29" s="171"/>
      <c r="F29" s="175"/>
      <c r="G29" s="175"/>
      <c r="H29" s="176"/>
      <c r="I29" s="175"/>
      <c r="J29" s="175"/>
      <c r="K29" s="175"/>
      <c r="L29" s="175"/>
      <c r="M29" s="175"/>
      <c r="N29" s="170">
        <v>4000</v>
      </c>
      <c r="O29" s="175"/>
      <c r="P29" s="175"/>
      <c r="Q29" s="175">
        <f t="shared" si="16"/>
        <v>4000</v>
      </c>
      <c r="R29" s="170"/>
      <c r="S29" s="170"/>
      <c r="T29" s="175"/>
      <c r="U29" s="175"/>
      <c r="V29" s="175"/>
      <c r="W29" s="175">
        <v>2000</v>
      </c>
      <c r="X29" s="175"/>
      <c r="Y29" s="175">
        <f t="shared" si="12"/>
        <v>2000</v>
      </c>
      <c r="Z29" s="175">
        <v>0</v>
      </c>
      <c r="AA29" s="175">
        <v>2000</v>
      </c>
      <c r="AB29" s="175">
        <v>2000</v>
      </c>
      <c r="AC29" s="175">
        <f t="shared" si="13"/>
        <v>2000</v>
      </c>
      <c r="AD29" s="175">
        <f t="shared" si="10"/>
        <v>2000</v>
      </c>
      <c r="AE29" s="175">
        <f t="shared" si="17"/>
        <v>2000</v>
      </c>
      <c r="AF29" s="170"/>
      <c r="AG29" s="175"/>
      <c r="AH29" s="171" t="s">
        <v>83</v>
      </c>
      <c r="AI29" s="171"/>
    </row>
    <row r="30" spans="1:35" ht="30.75">
      <c r="A30" s="171" t="s">
        <v>204</v>
      </c>
      <c r="B30" s="172" t="s">
        <v>201</v>
      </c>
      <c r="C30" s="174"/>
      <c r="D30" s="174"/>
      <c r="E30" s="171"/>
      <c r="F30" s="175"/>
      <c r="G30" s="175"/>
      <c r="H30" s="176"/>
      <c r="I30" s="175"/>
      <c r="J30" s="175"/>
      <c r="K30" s="175"/>
      <c r="L30" s="175"/>
      <c r="M30" s="175"/>
      <c r="N30" s="170">
        <v>1000</v>
      </c>
      <c r="O30" s="175"/>
      <c r="P30" s="175"/>
      <c r="Q30" s="175">
        <f t="shared" si="16"/>
        <v>1000</v>
      </c>
      <c r="R30" s="170"/>
      <c r="S30" s="170"/>
      <c r="T30" s="175"/>
      <c r="U30" s="175"/>
      <c r="V30" s="175"/>
      <c r="W30" s="175">
        <v>500</v>
      </c>
      <c r="X30" s="175"/>
      <c r="Y30" s="175">
        <f t="shared" si="12"/>
        <v>500</v>
      </c>
      <c r="Z30" s="175">
        <v>0</v>
      </c>
      <c r="AA30" s="175">
        <v>500</v>
      </c>
      <c r="AB30" s="175">
        <v>500</v>
      </c>
      <c r="AC30" s="175">
        <f t="shared" si="13"/>
        <v>500</v>
      </c>
      <c r="AD30" s="175">
        <f t="shared" si="10"/>
        <v>500</v>
      </c>
      <c r="AE30" s="175">
        <f t="shared" si="17"/>
        <v>500</v>
      </c>
      <c r="AF30" s="170"/>
      <c r="AG30" s="175"/>
      <c r="AH30" s="171" t="s">
        <v>87</v>
      </c>
      <c r="AI30" s="171"/>
    </row>
    <row r="31" spans="1:35" ht="30.75">
      <c r="A31" s="171" t="s">
        <v>204</v>
      </c>
      <c r="B31" s="172" t="s">
        <v>150</v>
      </c>
      <c r="C31" s="174"/>
      <c r="D31" s="174"/>
      <c r="E31" s="171"/>
      <c r="F31" s="175"/>
      <c r="G31" s="175"/>
      <c r="H31" s="176"/>
      <c r="I31" s="175"/>
      <c r="J31" s="175"/>
      <c r="K31" s="175"/>
      <c r="L31" s="175"/>
      <c r="M31" s="175"/>
      <c r="N31" s="170">
        <v>2250</v>
      </c>
      <c r="O31" s="175"/>
      <c r="P31" s="175"/>
      <c r="Q31" s="175">
        <f t="shared" si="16"/>
        <v>2250</v>
      </c>
      <c r="R31" s="170"/>
      <c r="S31" s="170"/>
      <c r="T31" s="175"/>
      <c r="U31" s="175"/>
      <c r="V31" s="175"/>
      <c r="W31" s="175">
        <v>1250</v>
      </c>
      <c r="X31" s="175"/>
      <c r="Y31" s="175">
        <f t="shared" si="12"/>
        <v>1250</v>
      </c>
      <c r="Z31" s="175">
        <v>54.036</v>
      </c>
      <c r="AA31" s="213">
        <f>Y31-Z31</f>
        <v>1195.964</v>
      </c>
      <c r="AB31" s="213">
        <f>AA31</f>
        <v>1195.964</v>
      </c>
      <c r="AC31" s="175">
        <f t="shared" si="13"/>
        <v>1250</v>
      </c>
      <c r="AD31" s="175">
        <f t="shared" si="10"/>
        <v>1250</v>
      </c>
      <c r="AE31" s="175">
        <f t="shared" si="17"/>
        <v>1000</v>
      </c>
      <c r="AF31" s="170"/>
      <c r="AG31" s="175"/>
      <c r="AH31" s="171" t="s">
        <v>92</v>
      </c>
      <c r="AI31" s="171"/>
    </row>
    <row r="32" spans="1:35" ht="36" customHeight="1">
      <c r="A32" s="171" t="s">
        <v>204</v>
      </c>
      <c r="B32" s="172" t="s">
        <v>153</v>
      </c>
      <c r="C32" s="174"/>
      <c r="D32" s="174"/>
      <c r="E32" s="171"/>
      <c r="F32" s="175"/>
      <c r="G32" s="175"/>
      <c r="H32" s="176"/>
      <c r="I32" s="175"/>
      <c r="J32" s="175"/>
      <c r="K32" s="175"/>
      <c r="L32" s="175"/>
      <c r="M32" s="175"/>
      <c r="N32" s="170">
        <v>2250</v>
      </c>
      <c r="O32" s="175"/>
      <c r="P32" s="175"/>
      <c r="Q32" s="175">
        <f t="shared" si="16"/>
        <v>2250</v>
      </c>
      <c r="R32" s="170"/>
      <c r="S32" s="170"/>
      <c r="T32" s="175"/>
      <c r="U32" s="175"/>
      <c r="V32" s="175"/>
      <c r="W32" s="175">
        <v>1250</v>
      </c>
      <c r="X32" s="175"/>
      <c r="Y32" s="175">
        <f t="shared" si="12"/>
        <v>1250</v>
      </c>
      <c r="Z32" s="175">
        <v>0</v>
      </c>
      <c r="AA32" s="175">
        <f>Y32-Z32</f>
        <v>1250</v>
      </c>
      <c r="AB32" s="175">
        <f>AA32</f>
        <v>1250</v>
      </c>
      <c r="AC32" s="175">
        <f t="shared" si="13"/>
        <v>1250</v>
      </c>
      <c r="AD32" s="175">
        <f t="shared" si="10"/>
        <v>1250</v>
      </c>
      <c r="AE32" s="175">
        <f t="shared" si="17"/>
        <v>1000</v>
      </c>
      <c r="AF32" s="170"/>
      <c r="AG32" s="175"/>
      <c r="AH32" s="171" t="s">
        <v>85</v>
      </c>
      <c r="AI32" s="171"/>
    </row>
    <row r="33" spans="1:35" ht="36" customHeight="1">
      <c r="A33" s="171" t="s">
        <v>204</v>
      </c>
      <c r="B33" s="172" t="s">
        <v>154</v>
      </c>
      <c r="C33" s="174"/>
      <c r="D33" s="174"/>
      <c r="E33" s="171"/>
      <c r="F33" s="175"/>
      <c r="G33" s="175"/>
      <c r="H33" s="176"/>
      <c r="I33" s="175"/>
      <c r="J33" s="175"/>
      <c r="K33" s="175"/>
      <c r="L33" s="175"/>
      <c r="M33" s="175"/>
      <c r="N33" s="170">
        <v>2000</v>
      </c>
      <c r="O33" s="175"/>
      <c r="P33" s="175"/>
      <c r="Q33" s="175">
        <f t="shared" si="16"/>
        <v>2000</v>
      </c>
      <c r="R33" s="170"/>
      <c r="S33" s="170"/>
      <c r="T33" s="175"/>
      <c r="U33" s="175"/>
      <c r="V33" s="175"/>
      <c r="W33" s="175">
        <v>1000</v>
      </c>
      <c r="X33" s="175"/>
      <c r="Y33" s="175">
        <f t="shared" si="12"/>
        <v>1000</v>
      </c>
      <c r="Z33" s="175">
        <v>0</v>
      </c>
      <c r="AA33" s="175">
        <v>1000</v>
      </c>
      <c r="AB33" s="175">
        <v>1000</v>
      </c>
      <c r="AC33" s="175">
        <f t="shared" si="13"/>
        <v>1000</v>
      </c>
      <c r="AD33" s="175">
        <f t="shared" si="10"/>
        <v>1000</v>
      </c>
      <c r="AE33" s="175">
        <f t="shared" si="17"/>
        <v>1000</v>
      </c>
      <c r="AF33" s="170"/>
      <c r="AG33" s="175"/>
      <c r="AH33" s="171" t="s">
        <v>94</v>
      </c>
      <c r="AI33" s="171"/>
    </row>
    <row r="34" spans="1:35" ht="36" customHeight="1">
      <c r="A34" s="171" t="s">
        <v>204</v>
      </c>
      <c r="B34" s="172" t="s">
        <v>152</v>
      </c>
      <c r="C34" s="174"/>
      <c r="D34" s="174"/>
      <c r="E34" s="171"/>
      <c r="F34" s="175"/>
      <c r="G34" s="175"/>
      <c r="H34" s="176"/>
      <c r="I34" s="175"/>
      <c r="J34" s="175"/>
      <c r="K34" s="175"/>
      <c r="L34" s="175"/>
      <c r="M34" s="175"/>
      <c r="N34" s="170">
        <v>2750</v>
      </c>
      <c r="O34" s="175"/>
      <c r="P34" s="175"/>
      <c r="Q34" s="175">
        <f t="shared" si="16"/>
        <v>2750</v>
      </c>
      <c r="R34" s="170"/>
      <c r="S34" s="170"/>
      <c r="T34" s="175"/>
      <c r="U34" s="175"/>
      <c r="V34" s="175"/>
      <c r="W34" s="175">
        <v>1250</v>
      </c>
      <c r="X34" s="175"/>
      <c r="Y34" s="175">
        <f t="shared" si="12"/>
        <v>1250</v>
      </c>
      <c r="Z34" s="175">
        <v>47.37</v>
      </c>
      <c r="AA34" s="170">
        <f>Y34-Z34</f>
        <v>1202.63</v>
      </c>
      <c r="AB34" s="175">
        <f>AA34</f>
        <v>1202.63</v>
      </c>
      <c r="AC34" s="175">
        <f t="shared" si="13"/>
        <v>1250</v>
      </c>
      <c r="AD34" s="175">
        <f t="shared" si="10"/>
        <v>1250</v>
      </c>
      <c r="AE34" s="175">
        <f t="shared" si="17"/>
        <v>1500</v>
      </c>
      <c r="AF34" s="170"/>
      <c r="AG34" s="175"/>
      <c r="AH34" s="171" t="s">
        <v>89</v>
      </c>
      <c r="AI34" s="171"/>
    </row>
    <row r="35" spans="1:35" s="198" customFormat="1" ht="24.75" customHeight="1">
      <c r="A35" s="195" t="s">
        <v>71</v>
      </c>
      <c r="B35" s="196" t="s">
        <v>137</v>
      </c>
      <c r="C35" s="197"/>
      <c r="D35" s="197"/>
      <c r="E35" s="195"/>
      <c r="F35" s="178">
        <f aca="true" t="shared" si="18" ref="F35:AC35">SUM(F36:F37)</f>
        <v>1500</v>
      </c>
      <c r="G35" s="178">
        <f t="shared" si="18"/>
        <v>1500</v>
      </c>
      <c r="H35" s="178">
        <f t="shared" si="18"/>
        <v>0</v>
      </c>
      <c r="I35" s="178">
        <f t="shared" si="18"/>
        <v>0</v>
      </c>
      <c r="J35" s="178">
        <f t="shared" si="18"/>
        <v>0</v>
      </c>
      <c r="K35" s="178">
        <f t="shared" si="18"/>
        <v>1500</v>
      </c>
      <c r="L35" s="178">
        <f t="shared" si="18"/>
        <v>0</v>
      </c>
      <c r="M35" s="178">
        <f t="shared" si="18"/>
        <v>0</v>
      </c>
      <c r="N35" s="178">
        <f t="shared" si="18"/>
        <v>0</v>
      </c>
      <c r="O35" s="178">
        <f t="shared" si="18"/>
        <v>0</v>
      </c>
      <c r="P35" s="178">
        <f t="shared" si="18"/>
        <v>0</v>
      </c>
      <c r="Q35" s="178">
        <f t="shared" si="18"/>
        <v>1500</v>
      </c>
      <c r="R35" s="204">
        <f t="shared" si="18"/>
        <v>386</v>
      </c>
      <c r="S35" s="204">
        <f t="shared" si="18"/>
        <v>384</v>
      </c>
      <c r="T35" s="178">
        <f t="shared" si="18"/>
        <v>386</v>
      </c>
      <c r="U35" s="178">
        <f t="shared" si="18"/>
        <v>850</v>
      </c>
      <c r="V35" s="178">
        <f t="shared" si="18"/>
        <v>0</v>
      </c>
      <c r="W35" s="178">
        <f t="shared" si="18"/>
        <v>0</v>
      </c>
      <c r="X35" s="178">
        <f t="shared" si="18"/>
        <v>0</v>
      </c>
      <c r="Y35" s="178">
        <f t="shared" si="18"/>
        <v>850</v>
      </c>
      <c r="Z35" s="178">
        <f t="shared" si="18"/>
        <v>767.396</v>
      </c>
      <c r="AA35" s="178">
        <f t="shared" si="18"/>
        <v>82.60400000000004</v>
      </c>
      <c r="AB35" s="178">
        <f t="shared" si="18"/>
        <v>82.60400000000004</v>
      </c>
      <c r="AC35" s="178">
        <f t="shared" si="18"/>
        <v>1236</v>
      </c>
      <c r="AD35" s="178">
        <f t="shared" si="10"/>
        <v>1236</v>
      </c>
      <c r="AE35" s="178">
        <f>SUM(AE36:AE37)</f>
        <v>264</v>
      </c>
      <c r="AF35" s="178">
        <f>SUM(AF36:AF37)</f>
        <v>264</v>
      </c>
      <c r="AG35" s="178"/>
      <c r="AH35" s="195"/>
      <c r="AI35" s="195"/>
    </row>
    <row r="36" spans="1:35" s="194" customFormat="1" ht="24.75" customHeight="1">
      <c r="A36" s="191"/>
      <c r="B36" s="207" t="s">
        <v>167</v>
      </c>
      <c r="C36" s="192"/>
      <c r="D36" s="192"/>
      <c r="E36" s="191"/>
      <c r="F36" s="188"/>
      <c r="G36" s="188"/>
      <c r="H36" s="193"/>
      <c r="I36" s="188"/>
      <c r="J36" s="188"/>
      <c r="K36" s="188"/>
      <c r="L36" s="188"/>
      <c r="M36" s="188"/>
      <c r="N36" s="188"/>
      <c r="O36" s="188"/>
      <c r="P36" s="188"/>
      <c r="Q36" s="175">
        <f>SUM(K36:O36)</f>
        <v>0</v>
      </c>
      <c r="R36" s="177"/>
      <c r="S36" s="177"/>
      <c r="T36" s="175">
        <f>J36+R36</f>
        <v>0</v>
      </c>
      <c r="U36" s="175"/>
      <c r="V36" s="175"/>
      <c r="W36" s="175"/>
      <c r="X36" s="175"/>
      <c r="Y36" s="175"/>
      <c r="Z36" s="175"/>
      <c r="AA36" s="175"/>
      <c r="AB36" s="175"/>
      <c r="AC36" s="175">
        <f aca="true" t="shared" si="19" ref="AC36:AC75">T36+Y36</f>
        <v>0</v>
      </c>
      <c r="AD36" s="175">
        <f>R36+Y36</f>
        <v>0</v>
      </c>
      <c r="AE36" s="175">
        <f>Q36-R36-Y36</f>
        <v>0</v>
      </c>
      <c r="AF36" s="175"/>
      <c r="AG36" s="175"/>
      <c r="AH36" s="191"/>
      <c r="AI36" s="191"/>
    </row>
    <row r="37" spans="1:35" ht="40.5" customHeight="1">
      <c r="A37" s="171">
        <v>7</v>
      </c>
      <c r="B37" s="189" t="s">
        <v>140</v>
      </c>
      <c r="C37" s="174">
        <v>2021</v>
      </c>
      <c r="D37" s="174">
        <v>2022</v>
      </c>
      <c r="E37" s="190" t="s">
        <v>164</v>
      </c>
      <c r="F37" s="175">
        <v>1500</v>
      </c>
      <c r="G37" s="175">
        <v>1500</v>
      </c>
      <c r="H37" s="176"/>
      <c r="I37" s="175"/>
      <c r="J37" s="175"/>
      <c r="K37" s="175">
        <v>1500</v>
      </c>
      <c r="L37" s="175"/>
      <c r="M37" s="175"/>
      <c r="N37" s="175"/>
      <c r="O37" s="175"/>
      <c r="P37" s="175"/>
      <c r="Q37" s="175">
        <f>SUM(K37:O37)</f>
        <v>1500</v>
      </c>
      <c r="R37" s="170">
        <v>386</v>
      </c>
      <c r="S37" s="170">
        <v>384</v>
      </c>
      <c r="T37" s="175">
        <f>J37+R37</f>
        <v>386</v>
      </c>
      <c r="U37" s="175">
        <v>850</v>
      </c>
      <c r="V37" s="175"/>
      <c r="W37" s="175"/>
      <c r="X37" s="175"/>
      <c r="Y37" s="175">
        <f>SUM(U37:X37)</f>
        <v>850</v>
      </c>
      <c r="Z37" s="175">
        <v>767.396</v>
      </c>
      <c r="AA37" s="175">
        <f>Y37-Z37</f>
        <v>82.60400000000004</v>
      </c>
      <c r="AB37" s="175">
        <f>AA37</f>
        <v>82.60400000000004</v>
      </c>
      <c r="AC37" s="175">
        <f t="shared" si="19"/>
        <v>1236</v>
      </c>
      <c r="AD37" s="175">
        <f>R37+Y37</f>
        <v>1236</v>
      </c>
      <c r="AE37" s="175">
        <f>Q37-R37-Y37</f>
        <v>264</v>
      </c>
      <c r="AF37" s="175">
        <f>Q37-R37-Y37</f>
        <v>264</v>
      </c>
      <c r="AG37" s="209">
        <f>(T37+Y37+AF37)/G37</f>
        <v>1</v>
      </c>
      <c r="AH37" s="171" t="s">
        <v>127</v>
      </c>
      <c r="AI37" s="171"/>
    </row>
    <row r="38" spans="1:35" s="198" customFormat="1" ht="26.25" customHeight="1">
      <c r="A38" s="195" t="s">
        <v>75</v>
      </c>
      <c r="B38" s="196" t="s">
        <v>141</v>
      </c>
      <c r="C38" s="197"/>
      <c r="D38" s="197"/>
      <c r="E38" s="195"/>
      <c r="F38" s="178"/>
      <c r="G38" s="178"/>
      <c r="H38" s="206"/>
      <c r="I38" s="178"/>
      <c r="J38" s="178">
        <f aca="true" t="shared" si="20" ref="J38:O38">SUM(J39:J43)</f>
        <v>65783</v>
      </c>
      <c r="K38" s="178">
        <f t="shared" si="20"/>
        <v>233609</v>
      </c>
      <c r="L38" s="178">
        <f t="shared" si="20"/>
        <v>0</v>
      </c>
      <c r="M38" s="178">
        <f t="shared" si="20"/>
        <v>0</v>
      </c>
      <c r="N38" s="178">
        <f t="shared" si="20"/>
        <v>1482</v>
      </c>
      <c r="O38" s="178">
        <f t="shared" si="20"/>
        <v>0</v>
      </c>
      <c r="P38" s="178"/>
      <c r="Q38" s="178">
        <f aca="true" t="shared" si="21" ref="Q38:AG38">SUM(Q39:Q43)</f>
        <v>235091</v>
      </c>
      <c r="R38" s="178">
        <f t="shared" si="21"/>
        <v>35680</v>
      </c>
      <c r="S38" s="178">
        <f t="shared" si="21"/>
        <v>34572</v>
      </c>
      <c r="T38" s="178">
        <f t="shared" si="21"/>
        <v>101463</v>
      </c>
      <c r="U38" s="178">
        <f t="shared" si="21"/>
        <v>114160</v>
      </c>
      <c r="V38" s="178">
        <f t="shared" si="21"/>
        <v>-36944</v>
      </c>
      <c r="W38" s="178">
        <f t="shared" si="21"/>
        <v>-12274</v>
      </c>
      <c r="X38" s="178">
        <f t="shared" si="21"/>
        <v>-6675</v>
      </c>
      <c r="Y38" s="178">
        <f t="shared" si="21"/>
        <v>58267</v>
      </c>
      <c r="Z38" s="178">
        <f t="shared" si="21"/>
        <v>38186.78</v>
      </c>
      <c r="AA38" s="178">
        <f t="shared" si="21"/>
        <v>20080.219999999998</v>
      </c>
      <c r="AB38" s="178">
        <f t="shared" si="21"/>
        <v>20080.219999999998</v>
      </c>
      <c r="AC38" s="178">
        <f t="shared" si="21"/>
        <v>159730</v>
      </c>
      <c r="AD38" s="178">
        <f t="shared" si="21"/>
        <v>93947</v>
      </c>
      <c r="AE38" s="178">
        <f t="shared" si="21"/>
        <v>141144</v>
      </c>
      <c r="AF38" s="178">
        <f t="shared" si="21"/>
        <v>60000</v>
      </c>
      <c r="AG38" s="178">
        <f t="shared" si="21"/>
        <v>0</v>
      </c>
      <c r="AH38" s="195"/>
      <c r="AI38" s="195"/>
    </row>
    <row r="39" spans="1:35" ht="57.75" customHeight="1">
      <c r="A39" s="171">
        <v>1</v>
      </c>
      <c r="B39" s="189" t="s">
        <v>34</v>
      </c>
      <c r="C39" s="174"/>
      <c r="D39" s="174"/>
      <c r="E39" s="212" t="s">
        <v>142</v>
      </c>
      <c r="F39" s="175">
        <v>1071289</v>
      </c>
      <c r="G39" s="175">
        <v>174087</v>
      </c>
      <c r="H39" s="176"/>
      <c r="I39" s="175"/>
      <c r="J39" s="175">
        <v>43000</v>
      </c>
      <c r="K39" s="175">
        <v>126380</v>
      </c>
      <c r="L39" s="175"/>
      <c r="M39" s="175"/>
      <c r="N39" s="175"/>
      <c r="O39" s="175"/>
      <c r="P39" s="175"/>
      <c r="Q39" s="175">
        <f>SUM(K39:O39)</f>
        <v>126380</v>
      </c>
      <c r="R39" s="170">
        <v>11380</v>
      </c>
      <c r="S39" s="170">
        <v>11380</v>
      </c>
      <c r="T39" s="175">
        <f>J39+R39</f>
        <v>54380</v>
      </c>
      <c r="U39" s="175">
        <v>81333</v>
      </c>
      <c r="V39" s="175">
        <v>-36944</v>
      </c>
      <c r="W39" s="175">
        <v>-8756</v>
      </c>
      <c r="X39" s="175"/>
      <c r="Y39" s="175">
        <f>SUM(U39:X39)</f>
        <v>35633</v>
      </c>
      <c r="Z39" s="175">
        <v>20942.25</v>
      </c>
      <c r="AA39" s="358">
        <f>Y39-Z39</f>
        <v>14690.75</v>
      </c>
      <c r="AB39" s="175">
        <v>14690.75</v>
      </c>
      <c r="AC39" s="175">
        <f t="shared" si="19"/>
        <v>90013</v>
      </c>
      <c r="AD39" s="175">
        <f>R39+Y39</f>
        <v>47013</v>
      </c>
      <c r="AE39" s="175">
        <f aca="true" t="shared" si="22" ref="AE39:AE64">Q39-R39-Y39</f>
        <v>79367</v>
      </c>
      <c r="AF39" s="175">
        <v>40000</v>
      </c>
      <c r="AG39" s="175"/>
      <c r="AH39" s="171" t="s">
        <v>136</v>
      </c>
      <c r="AI39" s="171"/>
    </row>
    <row r="40" spans="1:35" ht="30.75">
      <c r="A40" s="171">
        <v>2</v>
      </c>
      <c r="B40" s="366" t="s">
        <v>143</v>
      </c>
      <c r="C40" s="367">
        <v>2016</v>
      </c>
      <c r="D40" s="367">
        <v>2022</v>
      </c>
      <c r="E40" s="360" t="s">
        <v>144</v>
      </c>
      <c r="F40" s="368">
        <v>89880</v>
      </c>
      <c r="G40" s="368">
        <v>4505</v>
      </c>
      <c r="H40" s="361"/>
      <c r="I40" s="368"/>
      <c r="J40" s="368"/>
      <c r="K40" s="368">
        <v>4505</v>
      </c>
      <c r="L40" s="368"/>
      <c r="M40" s="368"/>
      <c r="N40" s="368"/>
      <c r="O40" s="368"/>
      <c r="P40" s="368"/>
      <c r="Q40" s="368">
        <f>SUM(K40:O40)</f>
        <v>4505</v>
      </c>
      <c r="R40" s="369">
        <v>1300</v>
      </c>
      <c r="S40" s="369">
        <v>1221</v>
      </c>
      <c r="T40" s="368">
        <f>J40+R40</f>
        <v>1300</v>
      </c>
      <c r="U40" s="368">
        <v>407</v>
      </c>
      <c r="V40" s="368"/>
      <c r="W40" s="368"/>
      <c r="X40" s="368">
        <v>45</v>
      </c>
      <c r="Y40" s="368">
        <f>SUM(U40:X40)</f>
        <v>452</v>
      </c>
      <c r="Z40" s="368">
        <v>275.14</v>
      </c>
      <c r="AA40" s="368">
        <f>Y40-Z40</f>
        <v>176.86</v>
      </c>
      <c r="AB40" s="370">
        <f>AA40</f>
        <v>176.86</v>
      </c>
      <c r="AC40" s="368">
        <f t="shared" si="19"/>
        <v>1752</v>
      </c>
      <c r="AD40" s="368">
        <f aca="true" t="shared" si="23" ref="AD40:AD70">R40+Y40</f>
        <v>1752</v>
      </c>
      <c r="AE40" s="368">
        <f t="shared" si="22"/>
        <v>2753</v>
      </c>
      <c r="AF40" s="368"/>
      <c r="AG40" s="368"/>
      <c r="AH40" s="360" t="s">
        <v>65</v>
      </c>
      <c r="AI40" s="171"/>
    </row>
    <row r="41" spans="1:35" ht="41.25" customHeight="1">
      <c r="A41" s="171">
        <v>3</v>
      </c>
      <c r="B41" s="189" t="s">
        <v>40</v>
      </c>
      <c r="C41" s="174"/>
      <c r="D41" s="174"/>
      <c r="E41" s="171" t="s">
        <v>145</v>
      </c>
      <c r="F41" s="175">
        <v>840129</v>
      </c>
      <c r="G41" s="175">
        <v>93670</v>
      </c>
      <c r="H41" s="176"/>
      <c r="I41" s="175"/>
      <c r="J41" s="175">
        <v>22323</v>
      </c>
      <c r="K41" s="175">
        <v>70670</v>
      </c>
      <c r="L41" s="175"/>
      <c r="M41" s="175"/>
      <c r="N41" s="175"/>
      <c r="O41" s="175"/>
      <c r="P41" s="175"/>
      <c r="Q41" s="175">
        <f>SUM(K41:O41)</f>
        <v>70670</v>
      </c>
      <c r="R41" s="170">
        <v>18000</v>
      </c>
      <c r="S41" s="170">
        <v>16971</v>
      </c>
      <c r="T41" s="175">
        <f>J41+R41</f>
        <v>40323</v>
      </c>
      <c r="U41" s="175">
        <v>26000</v>
      </c>
      <c r="V41" s="175"/>
      <c r="W41" s="175">
        <v>-5000</v>
      </c>
      <c r="X41" s="175">
        <v>-5000</v>
      </c>
      <c r="Y41" s="175">
        <f>SUM(U41:X41)</f>
        <v>16000</v>
      </c>
      <c r="Z41" s="175">
        <v>11742.37</v>
      </c>
      <c r="AA41" s="175">
        <f>Y41-Z41</f>
        <v>4257.629999999999</v>
      </c>
      <c r="AB41" s="512">
        <f>AA41</f>
        <v>4257.629999999999</v>
      </c>
      <c r="AC41" s="175">
        <f t="shared" si="19"/>
        <v>56323</v>
      </c>
      <c r="AD41" s="175">
        <f t="shared" si="23"/>
        <v>34000</v>
      </c>
      <c r="AE41" s="175">
        <f t="shared" si="22"/>
        <v>36670</v>
      </c>
      <c r="AF41" s="175">
        <v>13000</v>
      </c>
      <c r="AG41" s="175"/>
      <c r="AH41" s="171" t="s">
        <v>162</v>
      </c>
      <c r="AI41" s="171"/>
    </row>
    <row r="42" spans="1:35" ht="47.25" customHeight="1">
      <c r="A42" s="171">
        <v>4</v>
      </c>
      <c r="B42" s="189" t="s">
        <v>46</v>
      </c>
      <c r="C42" s="174">
        <v>2021</v>
      </c>
      <c r="D42" s="174">
        <v>2024</v>
      </c>
      <c r="E42" s="171" t="s">
        <v>146</v>
      </c>
      <c r="F42" s="175">
        <v>153655</v>
      </c>
      <c r="G42" s="175">
        <v>32504</v>
      </c>
      <c r="H42" s="176"/>
      <c r="I42" s="175"/>
      <c r="J42" s="175">
        <v>460</v>
      </c>
      <c r="K42" s="175">
        <v>32054</v>
      </c>
      <c r="L42" s="175"/>
      <c r="M42" s="175"/>
      <c r="N42" s="175"/>
      <c r="O42" s="175"/>
      <c r="P42" s="175"/>
      <c r="Q42" s="175">
        <f>SUM(K42:O42)</f>
        <v>32054</v>
      </c>
      <c r="R42" s="170">
        <v>5000</v>
      </c>
      <c r="S42" s="170">
        <v>5000</v>
      </c>
      <c r="T42" s="175">
        <f>J42+R42</f>
        <v>5460</v>
      </c>
      <c r="U42" s="175">
        <v>6420</v>
      </c>
      <c r="V42" s="175"/>
      <c r="W42" s="175"/>
      <c r="X42" s="175">
        <v>-1720</v>
      </c>
      <c r="Y42" s="175">
        <f>SUM(U42:X42)</f>
        <v>4700</v>
      </c>
      <c r="Z42" s="175">
        <v>3811.02</v>
      </c>
      <c r="AA42" s="175">
        <f>Y42-Z42</f>
        <v>888.98</v>
      </c>
      <c r="AB42" s="512">
        <f>AA42</f>
        <v>888.98</v>
      </c>
      <c r="AC42" s="175">
        <f t="shared" si="19"/>
        <v>10160</v>
      </c>
      <c r="AD42" s="175">
        <f t="shared" si="23"/>
        <v>9700</v>
      </c>
      <c r="AE42" s="175">
        <f t="shared" si="22"/>
        <v>22354</v>
      </c>
      <c r="AF42" s="175">
        <v>7000</v>
      </c>
      <c r="AG42" s="175"/>
      <c r="AH42" s="171" t="s">
        <v>126</v>
      </c>
      <c r="AI42" s="171"/>
    </row>
    <row r="43" spans="1:35" ht="56.25" customHeight="1">
      <c r="A43" s="171">
        <v>5</v>
      </c>
      <c r="B43" s="189" t="s">
        <v>213</v>
      </c>
      <c r="C43" s="174"/>
      <c r="D43" s="174"/>
      <c r="E43" s="171"/>
      <c r="F43" s="175"/>
      <c r="G43" s="175"/>
      <c r="H43" s="176"/>
      <c r="I43" s="175"/>
      <c r="J43" s="175"/>
      <c r="K43" s="175"/>
      <c r="L43" s="175"/>
      <c r="M43" s="175"/>
      <c r="N43" s="175">
        <v>1482</v>
      </c>
      <c r="O43" s="175"/>
      <c r="P43" s="175"/>
      <c r="Q43" s="175">
        <f>SUM(K43:O43)</f>
        <v>1482</v>
      </c>
      <c r="R43" s="170"/>
      <c r="S43" s="170"/>
      <c r="T43" s="175"/>
      <c r="U43" s="175"/>
      <c r="V43" s="175"/>
      <c r="W43" s="175">
        <v>1482</v>
      </c>
      <c r="X43" s="175"/>
      <c r="Y43" s="175">
        <f>SUM(U43:X43)</f>
        <v>1482</v>
      </c>
      <c r="Z43" s="175">
        <v>1416</v>
      </c>
      <c r="AA43" s="175">
        <f>Y43-Z43</f>
        <v>66</v>
      </c>
      <c r="AB43" s="175">
        <v>66</v>
      </c>
      <c r="AC43" s="175">
        <f t="shared" si="19"/>
        <v>1482</v>
      </c>
      <c r="AD43" s="175">
        <f t="shared" si="23"/>
        <v>1482</v>
      </c>
      <c r="AE43" s="175">
        <f t="shared" si="22"/>
        <v>0</v>
      </c>
      <c r="AF43" s="175"/>
      <c r="AG43" s="175"/>
      <c r="AH43" s="171" t="s">
        <v>426</v>
      </c>
      <c r="AI43" s="171"/>
    </row>
    <row r="44" spans="1:35" s="198" customFormat="1" ht="24.75" customHeight="1">
      <c r="A44" s="195" t="s">
        <v>80</v>
      </c>
      <c r="B44" s="196" t="s">
        <v>196</v>
      </c>
      <c r="C44" s="197"/>
      <c r="D44" s="197"/>
      <c r="E44" s="195"/>
      <c r="F44" s="178"/>
      <c r="G44" s="178"/>
      <c r="H44" s="206"/>
      <c r="I44" s="178"/>
      <c r="J44" s="178"/>
      <c r="K44" s="204">
        <f>K45+K56+K66</f>
        <v>0</v>
      </c>
      <c r="L44" s="204">
        <f>L45+L56+L66</f>
        <v>0</v>
      </c>
      <c r="M44" s="204">
        <f>M45+M56+M66</f>
        <v>18879</v>
      </c>
      <c r="N44" s="204">
        <f>N45+N56+N66</f>
        <v>125967</v>
      </c>
      <c r="O44" s="204">
        <f>O45+O56+O66</f>
        <v>0</v>
      </c>
      <c r="P44" s="204"/>
      <c r="Q44" s="204">
        <f aca="true" t="shared" si="24" ref="Q44:AB44">Q45+Q56+Q66</f>
        <v>144846</v>
      </c>
      <c r="R44" s="204">
        <f t="shared" si="24"/>
        <v>0</v>
      </c>
      <c r="S44" s="204">
        <f t="shared" si="24"/>
        <v>0</v>
      </c>
      <c r="T44" s="204">
        <f t="shared" si="24"/>
        <v>0</v>
      </c>
      <c r="U44" s="204">
        <f t="shared" si="24"/>
        <v>0</v>
      </c>
      <c r="V44" s="204">
        <f t="shared" si="24"/>
        <v>18879</v>
      </c>
      <c r="W44" s="204">
        <f t="shared" si="24"/>
        <v>13337</v>
      </c>
      <c r="X44" s="204">
        <f t="shared" si="24"/>
        <v>0</v>
      </c>
      <c r="Y44" s="204">
        <f t="shared" si="24"/>
        <v>32216</v>
      </c>
      <c r="Z44" s="204">
        <f t="shared" si="24"/>
        <v>24652.015</v>
      </c>
      <c r="AA44" s="204">
        <f t="shared" si="24"/>
        <v>7563.985000000001</v>
      </c>
      <c r="AB44" s="204">
        <f t="shared" si="24"/>
        <v>7517.28</v>
      </c>
      <c r="AC44" s="178">
        <f t="shared" si="19"/>
        <v>32216</v>
      </c>
      <c r="AD44" s="178">
        <f t="shared" si="23"/>
        <v>32216</v>
      </c>
      <c r="AE44" s="175">
        <f t="shared" si="22"/>
        <v>112630</v>
      </c>
      <c r="AF44" s="204">
        <f>AF45+AF56+AF66</f>
        <v>36100</v>
      </c>
      <c r="AG44" s="178"/>
      <c r="AH44" s="195"/>
      <c r="AI44" s="195"/>
    </row>
    <row r="45" spans="1:35" ht="24.75" customHeight="1">
      <c r="A45" s="171" t="s">
        <v>203</v>
      </c>
      <c r="B45" s="172" t="s">
        <v>197</v>
      </c>
      <c r="C45" s="174"/>
      <c r="D45" s="174"/>
      <c r="E45" s="171"/>
      <c r="F45" s="175"/>
      <c r="G45" s="175"/>
      <c r="H45" s="176"/>
      <c r="I45" s="175"/>
      <c r="J45" s="175"/>
      <c r="K45" s="175"/>
      <c r="L45" s="170"/>
      <c r="M45" s="170">
        <f>M46+M47</f>
        <v>2000</v>
      </c>
      <c r="N45" s="170">
        <f>N46+N47</f>
        <v>12211</v>
      </c>
      <c r="O45" s="170">
        <f>O46+O47</f>
        <v>0</v>
      </c>
      <c r="P45" s="170"/>
      <c r="Q45" s="170">
        <f>Q46+Q47</f>
        <v>14211</v>
      </c>
      <c r="R45" s="170">
        <f aca="true" t="shared" si="25" ref="R45:X45">R46+R47</f>
        <v>0</v>
      </c>
      <c r="S45" s="170">
        <f t="shared" si="25"/>
        <v>0</v>
      </c>
      <c r="T45" s="170">
        <f t="shared" si="25"/>
        <v>0</v>
      </c>
      <c r="U45" s="170">
        <f t="shared" si="25"/>
        <v>0</v>
      </c>
      <c r="V45" s="170">
        <f t="shared" si="25"/>
        <v>2000</v>
      </c>
      <c r="W45" s="170">
        <f t="shared" si="25"/>
        <v>2720</v>
      </c>
      <c r="X45" s="170">
        <f t="shared" si="25"/>
        <v>0</v>
      </c>
      <c r="Y45" s="175">
        <f>Y46+Y47</f>
        <v>4720</v>
      </c>
      <c r="Z45" s="175">
        <f>Z46+Z47</f>
        <v>4193</v>
      </c>
      <c r="AA45" s="175">
        <f>AA46+AA47</f>
        <v>527</v>
      </c>
      <c r="AB45" s="175">
        <f>AB46+AB47</f>
        <v>527</v>
      </c>
      <c r="AC45" s="175">
        <f t="shared" si="19"/>
        <v>4720</v>
      </c>
      <c r="AD45" s="175">
        <f t="shared" si="23"/>
        <v>4720</v>
      </c>
      <c r="AE45" s="175">
        <f t="shared" si="22"/>
        <v>9491</v>
      </c>
      <c r="AF45" s="170">
        <v>3163</v>
      </c>
      <c r="AG45" s="175"/>
      <c r="AH45" s="171"/>
      <c r="AI45" s="171"/>
    </row>
    <row r="46" spans="1:35" s="194" customFormat="1" ht="24.75" customHeight="1">
      <c r="A46" s="191">
        <v>1</v>
      </c>
      <c r="B46" s="187" t="s">
        <v>200</v>
      </c>
      <c r="C46" s="192"/>
      <c r="D46" s="192"/>
      <c r="E46" s="191"/>
      <c r="F46" s="188"/>
      <c r="G46" s="188"/>
      <c r="H46" s="193"/>
      <c r="I46" s="188"/>
      <c r="J46" s="188"/>
      <c r="K46" s="188"/>
      <c r="L46" s="188"/>
      <c r="M46" s="188"/>
      <c r="N46" s="188">
        <v>2276</v>
      </c>
      <c r="O46" s="188"/>
      <c r="P46" s="188"/>
      <c r="Q46" s="177">
        <v>2276</v>
      </c>
      <c r="R46" s="177"/>
      <c r="S46" s="177"/>
      <c r="T46" s="188"/>
      <c r="U46" s="188"/>
      <c r="V46" s="188"/>
      <c r="W46" s="188">
        <v>677</v>
      </c>
      <c r="X46" s="188"/>
      <c r="Y46" s="177">
        <v>677</v>
      </c>
      <c r="Z46" s="177">
        <v>675</v>
      </c>
      <c r="AA46" s="177">
        <f>Y46-Z46</f>
        <v>2</v>
      </c>
      <c r="AB46" s="177">
        <f>AA46</f>
        <v>2</v>
      </c>
      <c r="AC46" s="175">
        <f t="shared" si="19"/>
        <v>677</v>
      </c>
      <c r="AD46" s="175">
        <f t="shared" si="23"/>
        <v>677</v>
      </c>
      <c r="AE46" s="175">
        <f t="shared" si="22"/>
        <v>1599</v>
      </c>
      <c r="AF46" s="177"/>
      <c r="AG46" s="188"/>
      <c r="AH46" s="191"/>
      <c r="AI46" s="191"/>
    </row>
    <row r="47" spans="1:35" ht="24.75" customHeight="1">
      <c r="A47" s="171">
        <v>2</v>
      </c>
      <c r="B47" s="187" t="s">
        <v>198</v>
      </c>
      <c r="C47" s="174"/>
      <c r="D47" s="174"/>
      <c r="E47" s="171"/>
      <c r="F47" s="175"/>
      <c r="G47" s="175"/>
      <c r="H47" s="176"/>
      <c r="I47" s="175"/>
      <c r="J47" s="175"/>
      <c r="K47" s="175"/>
      <c r="L47" s="177"/>
      <c r="M47" s="177">
        <f>SUM(M48:M55)</f>
        <v>2000</v>
      </c>
      <c r="N47" s="177">
        <f>SUM(N48:N55)</f>
        <v>9935</v>
      </c>
      <c r="O47" s="177">
        <f>SUM(O48:O55)</f>
        <v>0</v>
      </c>
      <c r="P47" s="177"/>
      <c r="Q47" s="177">
        <f>SUM(Q48:Q55)</f>
        <v>11935</v>
      </c>
      <c r="R47" s="177">
        <f aca="true" t="shared" si="26" ref="R47:X47">SUM(R48:R55)</f>
        <v>0</v>
      </c>
      <c r="S47" s="177">
        <f t="shared" si="26"/>
        <v>0</v>
      </c>
      <c r="T47" s="177">
        <f t="shared" si="26"/>
        <v>0</v>
      </c>
      <c r="U47" s="177">
        <f t="shared" si="26"/>
        <v>0</v>
      </c>
      <c r="V47" s="177">
        <f t="shared" si="26"/>
        <v>2000</v>
      </c>
      <c r="W47" s="177">
        <f t="shared" si="26"/>
        <v>2043</v>
      </c>
      <c r="X47" s="177">
        <f t="shared" si="26"/>
        <v>0</v>
      </c>
      <c r="Y47" s="177">
        <f>SUM(Y48:Y55)</f>
        <v>4043</v>
      </c>
      <c r="Z47" s="177">
        <f>SUM(Z48:Z55)</f>
        <v>3518</v>
      </c>
      <c r="AA47" s="177">
        <f>SUM(AA48:AA55)</f>
        <v>525</v>
      </c>
      <c r="AB47" s="177">
        <f>SUM(AB48:AB55)</f>
        <v>525</v>
      </c>
      <c r="AC47" s="175">
        <f t="shared" si="19"/>
        <v>4043</v>
      </c>
      <c r="AD47" s="175">
        <f t="shared" si="23"/>
        <v>4043</v>
      </c>
      <c r="AE47" s="175">
        <f t="shared" si="22"/>
        <v>7892</v>
      </c>
      <c r="AF47" s="177"/>
      <c r="AG47" s="175"/>
      <c r="AH47" s="191"/>
      <c r="AI47" s="171"/>
    </row>
    <row r="48" spans="1:35" ht="30.75">
      <c r="A48" s="171" t="s">
        <v>204</v>
      </c>
      <c r="B48" s="172" t="s">
        <v>156</v>
      </c>
      <c r="C48" s="174"/>
      <c r="D48" s="174"/>
      <c r="E48" s="171"/>
      <c r="F48" s="175"/>
      <c r="G48" s="175"/>
      <c r="H48" s="176"/>
      <c r="I48" s="175"/>
      <c r="J48" s="175"/>
      <c r="K48" s="175"/>
      <c r="L48" s="175"/>
      <c r="M48" s="175"/>
      <c r="N48" s="175">
        <v>26</v>
      </c>
      <c r="O48" s="175"/>
      <c r="P48" s="175"/>
      <c r="Q48" s="175">
        <f aca="true" t="shared" si="27" ref="Q48:Q55">SUM(K48:O48)</f>
        <v>26</v>
      </c>
      <c r="R48" s="170"/>
      <c r="S48" s="170"/>
      <c r="T48" s="175"/>
      <c r="U48" s="175"/>
      <c r="V48" s="175"/>
      <c r="W48" s="175">
        <v>2</v>
      </c>
      <c r="X48" s="175"/>
      <c r="Y48" s="175">
        <f aca="true" t="shared" si="28" ref="Y48:Y55">SUM(U48:X48)</f>
        <v>2</v>
      </c>
      <c r="Z48" s="175">
        <v>0</v>
      </c>
      <c r="AA48" s="175">
        <f>Y48-Z48</f>
        <v>2</v>
      </c>
      <c r="AB48" s="175">
        <f>AA48</f>
        <v>2</v>
      </c>
      <c r="AC48" s="175">
        <f t="shared" si="19"/>
        <v>2</v>
      </c>
      <c r="AD48" s="175">
        <f t="shared" si="23"/>
        <v>2</v>
      </c>
      <c r="AE48" s="175">
        <f t="shared" si="22"/>
        <v>24</v>
      </c>
      <c r="AF48" s="170"/>
      <c r="AG48" s="175"/>
      <c r="AH48" s="171" t="s">
        <v>84</v>
      </c>
      <c r="AI48" s="172"/>
    </row>
    <row r="49" spans="1:35" ht="33" customHeight="1">
      <c r="A49" s="171" t="s">
        <v>204</v>
      </c>
      <c r="B49" s="172" t="s">
        <v>151</v>
      </c>
      <c r="C49" s="174"/>
      <c r="D49" s="174"/>
      <c r="E49" s="171"/>
      <c r="F49" s="175"/>
      <c r="G49" s="175"/>
      <c r="H49" s="176"/>
      <c r="I49" s="175"/>
      <c r="J49" s="175"/>
      <c r="K49" s="175"/>
      <c r="L49" s="175"/>
      <c r="M49" s="175"/>
      <c r="N49" s="175">
        <v>30</v>
      </c>
      <c r="O49" s="175"/>
      <c r="P49" s="175"/>
      <c r="Q49" s="175">
        <f t="shared" si="27"/>
        <v>30</v>
      </c>
      <c r="R49" s="170"/>
      <c r="S49" s="170"/>
      <c r="T49" s="175"/>
      <c r="U49" s="175"/>
      <c r="V49" s="175"/>
      <c r="W49" s="175">
        <v>3</v>
      </c>
      <c r="X49" s="175"/>
      <c r="Y49" s="175">
        <f t="shared" si="28"/>
        <v>3</v>
      </c>
      <c r="Z49" s="175">
        <v>0</v>
      </c>
      <c r="AA49" s="175">
        <f aca="true" t="shared" si="29" ref="AA49:AA55">Y49-Z49</f>
        <v>3</v>
      </c>
      <c r="AB49" s="175">
        <v>3</v>
      </c>
      <c r="AC49" s="175">
        <f t="shared" si="19"/>
        <v>3</v>
      </c>
      <c r="AD49" s="175">
        <f t="shared" si="23"/>
        <v>3</v>
      </c>
      <c r="AE49" s="175">
        <f t="shared" si="22"/>
        <v>27</v>
      </c>
      <c r="AF49" s="170"/>
      <c r="AG49" s="175"/>
      <c r="AH49" s="171" t="s">
        <v>83</v>
      </c>
      <c r="AI49" s="172"/>
    </row>
    <row r="50" spans="1:35" ht="30.75">
      <c r="A50" s="171" t="s">
        <v>204</v>
      </c>
      <c r="B50" s="172" t="s">
        <v>201</v>
      </c>
      <c r="C50" s="174"/>
      <c r="D50" s="174"/>
      <c r="E50" s="171"/>
      <c r="F50" s="175"/>
      <c r="G50" s="175"/>
      <c r="H50" s="176"/>
      <c r="I50" s="175"/>
      <c r="J50" s="175"/>
      <c r="K50" s="175"/>
      <c r="L50" s="175"/>
      <c r="M50" s="175">
        <v>1000</v>
      </c>
      <c r="N50" s="175">
        <v>4745</v>
      </c>
      <c r="O50" s="175"/>
      <c r="P50" s="175"/>
      <c r="Q50" s="175">
        <f t="shared" si="27"/>
        <v>5745</v>
      </c>
      <c r="R50" s="170"/>
      <c r="S50" s="170"/>
      <c r="T50" s="175"/>
      <c r="U50" s="175"/>
      <c r="V50" s="175">
        <v>1000</v>
      </c>
      <c r="W50" s="175">
        <v>967</v>
      </c>
      <c r="X50" s="175"/>
      <c r="Y50" s="175">
        <f t="shared" si="28"/>
        <v>1967</v>
      </c>
      <c r="Z50" s="175">
        <v>1964</v>
      </c>
      <c r="AA50" s="175">
        <f t="shared" si="29"/>
        <v>3</v>
      </c>
      <c r="AB50" s="175">
        <v>3</v>
      </c>
      <c r="AC50" s="175">
        <f t="shared" si="19"/>
        <v>1967</v>
      </c>
      <c r="AD50" s="175">
        <f t="shared" si="23"/>
        <v>1967</v>
      </c>
      <c r="AE50" s="175">
        <f t="shared" si="22"/>
        <v>3778</v>
      </c>
      <c r="AF50" s="170"/>
      <c r="AG50" s="175"/>
      <c r="AH50" s="171" t="s">
        <v>87</v>
      </c>
      <c r="AI50" s="172"/>
    </row>
    <row r="51" spans="1:35" ht="30.75">
      <c r="A51" s="171" t="s">
        <v>204</v>
      </c>
      <c r="B51" s="172" t="s">
        <v>150</v>
      </c>
      <c r="C51" s="174"/>
      <c r="D51" s="174"/>
      <c r="E51" s="171"/>
      <c r="F51" s="175"/>
      <c r="G51" s="175"/>
      <c r="H51" s="176"/>
      <c r="I51" s="175"/>
      <c r="J51" s="175"/>
      <c r="K51" s="175"/>
      <c r="L51" s="175"/>
      <c r="M51" s="175"/>
      <c r="N51" s="175">
        <v>24</v>
      </c>
      <c r="O51" s="175"/>
      <c r="P51" s="175"/>
      <c r="Q51" s="175">
        <f t="shared" si="27"/>
        <v>24</v>
      </c>
      <c r="R51" s="170"/>
      <c r="S51" s="170"/>
      <c r="T51" s="175"/>
      <c r="U51" s="175"/>
      <c r="V51" s="175"/>
      <c r="W51" s="175">
        <v>2</v>
      </c>
      <c r="X51" s="175"/>
      <c r="Y51" s="175">
        <f t="shared" si="28"/>
        <v>2</v>
      </c>
      <c r="Z51" s="175">
        <v>0</v>
      </c>
      <c r="AA51" s="175">
        <f t="shared" si="29"/>
        <v>2</v>
      </c>
      <c r="AB51" s="175">
        <v>2</v>
      </c>
      <c r="AC51" s="175">
        <f t="shared" si="19"/>
        <v>2</v>
      </c>
      <c r="AD51" s="175">
        <f t="shared" si="23"/>
        <v>2</v>
      </c>
      <c r="AE51" s="175">
        <f t="shared" si="22"/>
        <v>22</v>
      </c>
      <c r="AF51" s="170"/>
      <c r="AG51" s="175"/>
      <c r="AH51" s="171" t="s">
        <v>92</v>
      </c>
      <c r="AI51" s="172"/>
    </row>
    <row r="52" spans="1:35" ht="27" customHeight="1">
      <c r="A52" s="171" t="s">
        <v>204</v>
      </c>
      <c r="B52" s="172" t="s">
        <v>153</v>
      </c>
      <c r="C52" s="174"/>
      <c r="D52" s="174"/>
      <c r="E52" s="171"/>
      <c r="F52" s="175"/>
      <c r="G52" s="175"/>
      <c r="H52" s="176"/>
      <c r="I52" s="175"/>
      <c r="J52" s="175"/>
      <c r="K52" s="175"/>
      <c r="L52" s="175"/>
      <c r="M52" s="175">
        <v>1000</v>
      </c>
      <c r="N52" s="175">
        <v>5016</v>
      </c>
      <c r="O52" s="175"/>
      <c r="P52" s="175"/>
      <c r="Q52" s="175">
        <f t="shared" si="27"/>
        <v>6016</v>
      </c>
      <c r="R52" s="170"/>
      <c r="S52" s="170"/>
      <c r="T52" s="175"/>
      <c r="U52" s="175"/>
      <c r="V52" s="175">
        <v>1000</v>
      </c>
      <c r="W52" s="175">
        <v>1060</v>
      </c>
      <c r="X52" s="175"/>
      <c r="Y52" s="175">
        <f t="shared" si="28"/>
        <v>2060</v>
      </c>
      <c r="Z52" s="175">
        <v>1554</v>
      </c>
      <c r="AA52" s="175">
        <f t="shared" si="29"/>
        <v>506</v>
      </c>
      <c r="AB52" s="175">
        <f>AA52</f>
        <v>506</v>
      </c>
      <c r="AC52" s="175">
        <f t="shared" si="19"/>
        <v>2060</v>
      </c>
      <c r="AD52" s="175">
        <f t="shared" si="23"/>
        <v>2060</v>
      </c>
      <c r="AE52" s="175">
        <f t="shared" si="22"/>
        <v>3956</v>
      </c>
      <c r="AF52" s="170"/>
      <c r="AG52" s="175"/>
      <c r="AH52" s="171" t="s">
        <v>85</v>
      </c>
      <c r="AI52" s="172"/>
    </row>
    <row r="53" spans="1:35" ht="27" customHeight="1">
      <c r="A53" s="171" t="s">
        <v>204</v>
      </c>
      <c r="B53" s="172" t="s">
        <v>154</v>
      </c>
      <c r="C53" s="174"/>
      <c r="D53" s="174"/>
      <c r="E53" s="171"/>
      <c r="F53" s="175"/>
      <c r="G53" s="175"/>
      <c r="H53" s="176"/>
      <c r="I53" s="175"/>
      <c r="J53" s="175"/>
      <c r="K53" s="175"/>
      <c r="L53" s="175"/>
      <c r="M53" s="175"/>
      <c r="N53" s="175">
        <v>41</v>
      </c>
      <c r="O53" s="175"/>
      <c r="P53" s="175"/>
      <c r="Q53" s="175">
        <f t="shared" si="27"/>
        <v>41</v>
      </c>
      <c r="R53" s="170"/>
      <c r="S53" s="170"/>
      <c r="T53" s="175"/>
      <c r="U53" s="175"/>
      <c r="V53" s="175"/>
      <c r="W53" s="175">
        <v>4</v>
      </c>
      <c r="X53" s="175"/>
      <c r="Y53" s="175">
        <f t="shared" si="28"/>
        <v>4</v>
      </c>
      <c r="Z53" s="175">
        <v>0</v>
      </c>
      <c r="AA53" s="175">
        <f t="shared" si="29"/>
        <v>4</v>
      </c>
      <c r="AB53" s="175">
        <f>AA53</f>
        <v>4</v>
      </c>
      <c r="AC53" s="175">
        <f t="shared" si="19"/>
        <v>4</v>
      </c>
      <c r="AD53" s="175">
        <f t="shared" si="23"/>
        <v>4</v>
      </c>
      <c r="AE53" s="175">
        <f t="shared" si="22"/>
        <v>37</v>
      </c>
      <c r="AF53" s="170"/>
      <c r="AG53" s="175"/>
      <c r="AH53" s="171" t="s">
        <v>94</v>
      </c>
      <c r="AI53" s="172"/>
    </row>
    <row r="54" spans="1:35" ht="27" customHeight="1">
      <c r="A54" s="171" t="s">
        <v>204</v>
      </c>
      <c r="B54" s="172" t="s">
        <v>152</v>
      </c>
      <c r="C54" s="174"/>
      <c r="D54" s="174"/>
      <c r="E54" s="171"/>
      <c r="F54" s="175"/>
      <c r="G54" s="175"/>
      <c r="H54" s="176"/>
      <c r="I54" s="175"/>
      <c r="J54" s="175"/>
      <c r="K54" s="175"/>
      <c r="L54" s="175"/>
      <c r="M54" s="175"/>
      <c r="N54" s="175">
        <v>31</v>
      </c>
      <c r="O54" s="175"/>
      <c r="P54" s="175"/>
      <c r="Q54" s="175">
        <f t="shared" si="27"/>
        <v>31</v>
      </c>
      <c r="R54" s="170"/>
      <c r="S54" s="170"/>
      <c r="T54" s="175"/>
      <c r="U54" s="175"/>
      <c r="V54" s="175"/>
      <c r="W54" s="175">
        <v>3</v>
      </c>
      <c r="X54" s="175"/>
      <c r="Y54" s="175">
        <f t="shared" si="28"/>
        <v>3</v>
      </c>
      <c r="Z54" s="175"/>
      <c r="AA54" s="175">
        <f t="shared" si="29"/>
        <v>3</v>
      </c>
      <c r="AB54" s="175">
        <f>AA54</f>
        <v>3</v>
      </c>
      <c r="AC54" s="175">
        <f t="shared" si="19"/>
        <v>3</v>
      </c>
      <c r="AD54" s="175">
        <f t="shared" si="23"/>
        <v>3</v>
      </c>
      <c r="AE54" s="175">
        <f t="shared" si="22"/>
        <v>28</v>
      </c>
      <c r="AF54" s="170"/>
      <c r="AG54" s="175"/>
      <c r="AH54" s="171" t="s">
        <v>89</v>
      </c>
      <c r="AI54" s="172"/>
    </row>
    <row r="55" spans="1:35" ht="30.75">
      <c r="A55" s="173" t="s">
        <v>204</v>
      </c>
      <c r="B55" s="172" t="s">
        <v>149</v>
      </c>
      <c r="C55" s="174"/>
      <c r="D55" s="174"/>
      <c r="E55" s="171"/>
      <c r="F55" s="175"/>
      <c r="G55" s="175"/>
      <c r="H55" s="176"/>
      <c r="I55" s="175"/>
      <c r="J55" s="175"/>
      <c r="K55" s="175"/>
      <c r="L55" s="175"/>
      <c r="M55" s="175"/>
      <c r="N55" s="175">
        <v>22</v>
      </c>
      <c r="O55" s="175"/>
      <c r="P55" s="175"/>
      <c r="Q55" s="175">
        <f t="shared" si="27"/>
        <v>22</v>
      </c>
      <c r="R55" s="170"/>
      <c r="S55" s="170"/>
      <c r="T55" s="175"/>
      <c r="U55" s="175"/>
      <c r="V55" s="175"/>
      <c r="W55" s="175">
        <v>2</v>
      </c>
      <c r="X55" s="175"/>
      <c r="Y55" s="175">
        <f t="shared" si="28"/>
        <v>2</v>
      </c>
      <c r="Z55" s="175"/>
      <c r="AA55" s="175">
        <f t="shared" si="29"/>
        <v>2</v>
      </c>
      <c r="AB55" s="175">
        <f>AA55</f>
        <v>2</v>
      </c>
      <c r="AC55" s="175">
        <f t="shared" si="19"/>
        <v>2</v>
      </c>
      <c r="AD55" s="175">
        <f t="shared" si="23"/>
        <v>2</v>
      </c>
      <c r="AE55" s="175">
        <f t="shared" si="22"/>
        <v>20</v>
      </c>
      <c r="AF55" s="170"/>
      <c r="AG55" s="175"/>
      <c r="AH55" s="171" t="s">
        <v>70</v>
      </c>
      <c r="AI55" s="172"/>
    </row>
    <row r="56" spans="1:35" ht="30.75">
      <c r="A56" s="171" t="s">
        <v>205</v>
      </c>
      <c r="B56" s="172" t="s">
        <v>199</v>
      </c>
      <c r="C56" s="174"/>
      <c r="D56" s="174"/>
      <c r="E56" s="171"/>
      <c r="F56" s="175"/>
      <c r="G56" s="175"/>
      <c r="H56" s="176"/>
      <c r="I56" s="175"/>
      <c r="J56" s="175"/>
      <c r="K56" s="175"/>
      <c r="L56" s="170"/>
      <c r="M56" s="170">
        <f>M57+M58</f>
        <v>15779</v>
      </c>
      <c r="N56" s="170">
        <f>N57+N58</f>
        <v>73388</v>
      </c>
      <c r="O56" s="175"/>
      <c r="P56" s="175"/>
      <c r="Q56" s="170">
        <f>Q57+Q58</f>
        <v>89167</v>
      </c>
      <c r="R56" s="170">
        <f aca="true" t="shared" si="30" ref="R56:X56">R57+R58</f>
        <v>0</v>
      </c>
      <c r="S56" s="170">
        <f t="shared" si="30"/>
        <v>0</v>
      </c>
      <c r="T56" s="170">
        <f t="shared" si="30"/>
        <v>0</v>
      </c>
      <c r="U56" s="170">
        <f t="shared" si="30"/>
        <v>0</v>
      </c>
      <c r="V56" s="170">
        <f t="shared" si="30"/>
        <v>15779</v>
      </c>
      <c r="W56" s="170">
        <f t="shared" si="30"/>
        <v>584</v>
      </c>
      <c r="X56" s="170">
        <f t="shared" si="30"/>
        <v>0</v>
      </c>
      <c r="Y56" s="175">
        <f>Y57+Y58</f>
        <v>16363</v>
      </c>
      <c r="Z56" s="175">
        <f>Z57+Z58</f>
        <v>13817.643</v>
      </c>
      <c r="AA56" s="175">
        <f>AA57+AA58</f>
        <v>2545.357</v>
      </c>
      <c r="AB56" s="175">
        <f>AB57+AB58</f>
        <v>2501.26</v>
      </c>
      <c r="AC56" s="175">
        <f t="shared" si="19"/>
        <v>16363</v>
      </c>
      <c r="AD56" s="175">
        <f t="shared" si="23"/>
        <v>16363</v>
      </c>
      <c r="AE56" s="175">
        <f t="shared" si="22"/>
        <v>72804</v>
      </c>
      <c r="AF56" s="170">
        <v>21337</v>
      </c>
      <c r="AG56" s="175"/>
      <c r="AH56" s="171"/>
      <c r="AI56" s="171"/>
    </row>
    <row r="57" spans="1:37" s="194" customFormat="1" ht="24.75" customHeight="1">
      <c r="A57" s="191">
        <v>1</v>
      </c>
      <c r="B57" s="187" t="s">
        <v>200</v>
      </c>
      <c r="C57" s="192"/>
      <c r="D57" s="192"/>
      <c r="E57" s="191"/>
      <c r="F57" s="188"/>
      <c r="G57" s="188"/>
      <c r="H57" s="193"/>
      <c r="I57" s="188"/>
      <c r="J57" s="188"/>
      <c r="K57" s="188"/>
      <c r="L57" s="188"/>
      <c r="M57" s="188">
        <v>10779</v>
      </c>
      <c r="N57" s="188">
        <v>35178</v>
      </c>
      <c r="O57" s="188"/>
      <c r="P57" s="188"/>
      <c r="Q57" s="177">
        <v>45957</v>
      </c>
      <c r="R57" s="177"/>
      <c r="S57" s="177"/>
      <c r="T57" s="188"/>
      <c r="U57" s="188"/>
      <c r="V57" s="188">
        <v>10779</v>
      </c>
      <c r="W57" s="188">
        <v>-1788</v>
      </c>
      <c r="X57" s="188"/>
      <c r="Y57" s="177">
        <v>8991</v>
      </c>
      <c r="Z57" s="177">
        <v>7918</v>
      </c>
      <c r="AA57" s="170">
        <f>Y57-Z57</f>
        <v>1073</v>
      </c>
      <c r="AB57" s="177">
        <v>1073</v>
      </c>
      <c r="AC57" s="175">
        <f t="shared" si="19"/>
        <v>8991</v>
      </c>
      <c r="AD57" s="175">
        <f t="shared" si="23"/>
        <v>8991</v>
      </c>
      <c r="AE57" s="175">
        <f t="shared" si="22"/>
        <v>36966</v>
      </c>
      <c r="AF57" s="177"/>
      <c r="AG57" s="188"/>
      <c r="AH57" s="191"/>
      <c r="AI57" s="191"/>
      <c r="AK57" s="365"/>
    </row>
    <row r="58" spans="1:35" ht="24.75" customHeight="1">
      <c r="A58" s="171">
        <v>2</v>
      </c>
      <c r="B58" s="187" t="s">
        <v>198</v>
      </c>
      <c r="C58" s="174"/>
      <c r="D58" s="174"/>
      <c r="E58" s="171"/>
      <c r="F58" s="175"/>
      <c r="G58" s="175"/>
      <c r="H58" s="176"/>
      <c r="I58" s="175"/>
      <c r="J58" s="175"/>
      <c r="K58" s="175"/>
      <c r="L58" s="177"/>
      <c r="M58" s="177">
        <f>SUM(M59:M65)</f>
        <v>5000</v>
      </c>
      <c r="N58" s="177">
        <f>SUM(N59:N65)</f>
        <v>38210</v>
      </c>
      <c r="O58" s="175"/>
      <c r="P58" s="175"/>
      <c r="Q58" s="177">
        <f aca="true" t="shared" si="31" ref="Q58:AB58">SUM(Q59:Q65)</f>
        <v>43210</v>
      </c>
      <c r="R58" s="177">
        <f t="shared" si="31"/>
        <v>0</v>
      </c>
      <c r="S58" s="177">
        <f t="shared" si="31"/>
        <v>0</v>
      </c>
      <c r="T58" s="177">
        <f t="shared" si="31"/>
        <v>0</v>
      </c>
      <c r="U58" s="177">
        <f t="shared" si="31"/>
        <v>0</v>
      </c>
      <c r="V58" s="177">
        <f t="shared" si="31"/>
        <v>5000</v>
      </c>
      <c r="W58" s="177">
        <f t="shared" si="31"/>
        <v>2372</v>
      </c>
      <c r="X58" s="177">
        <f t="shared" si="31"/>
        <v>0</v>
      </c>
      <c r="Y58" s="177">
        <f t="shared" si="31"/>
        <v>7372</v>
      </c>
      <c r="Z58" s="177">
        <f t="shared" si="31"/>
        <v>5899.643</v>
      </c>
      <c r="AA58" s="177">
        <f t="shared" si="31"/>
        <v>1472.357</v>
      </c>
      <c r="AB58" s="177">
        <f t="shared" si="31"/>
        <v>1428.26</v>
      </c>
      <c r="AC58" s="175">
        <f t="shared" si="19"/>
        <v>7372</v>
      </c>
      <c r="AD58" s="175">
        <f t="shared" si="23"/>
        <v>7372</v>
      </c>
      <c r="AE58" s="175">
        <f t="shared" si="22"/>
        <v>35838</v>
      </c>
      <c r="AF58" s="177"/>
      <c r="AG58" s="175"/>
      <c r="AH58" s="191"/>
      <c r="AI58" s="171"/>
    </row>
    <row r="59" spans="1:35" ht="30.75">
      <c r="A59" s="171" t="s">
        <v>204</v>
      </c>
      <c r="B59" s="172" t="s">
        <v>156</v>
      </c>
      <c r="C59" s="174"/>
      <c r="D59" s="174"/>
      <c r="E59" s="171"/>
      <c r="F59" s="175"/>
      <c r="G59" s="175"/>
      <c r="H59" s="176"/>
      <c r="I59" s="175"/>
      <c r="J59" s="175"/>
      <c r="K59" s="175"/>
      <c r="L59" s="175"/>
      <c r="M59" s="175">
        <v>600</v>
      </c>
      <c r="N59" s="175">
        <v>4495</v>
      </c>
      <c r="O59" s="175"/>
      <c r="P59" s="175"/>
      <c r="Q59" s="175">
        <f aca="true" t="shared" si="32" ref="Q59:Q65">SUM(K59:O59)</f>
        <v>5095</v>
      </c>
      <c r="R59" s="170"/>
      <c r="S59" s="170"/>
      <c r="T59" s="175"/>
      <c r="U59" s="175"/>
      <c r="V59" s="175">
        <v>600</v>
      </c>
      <c r="W59" s="175">
        <v>348</v>
      </c>
      <c r="X59" s="175"/>
      <c r="Y59" s="170">
        <v>948</v>
      </c>
      <c r="Z59" s="363">
        <v>359.5</v>
      </c>
      <c r="AA59" s="363">
        <f>Y59-Z59</f>
        <v>588.5</v>
      </c>
      <c r="AB59" s="363">
        <v>588.5</v>
      </c>
      <c r="AC59" s="175">
        <f t="shared" si="19"/>
        <v>948</v>
      </c>
      <c r="AD59" s="175">
        <f t="shared" si="23"/>
        <v>948</v>
      </c>
      <c r="AE59" s="175">
        <f t="shared" si="22"/>
        <v>4147</v>
      </c>
      <c r="AF59" s="170"/>
      <c r="AG59" s="175"/>
      <c r="AH59" s="171" t="s">
        <v>84</v>
      </c>
      <c r="AI59" s="172"/>
    </row>
    <row r="60" spans="1:35" ht="27" customHeight="1">
      <c r="A60" s="171" t="s">
        <v>204</v>
      </c>
      <c r="B60" s="172" t="s">
        <v>151</v>
      </c>
      <c r="C60" s="174"/>
      <c r="D60" s="174"/>
      <c r="E60" s="171"/>
      <c r="F60" s="175"/>
      <c r="G60" s="175"/>
      <c r="H60" s="176"/>
      <c r="I60" s="175"/>
      <c r="J60" s="175"/>
      <c r="K60" s="175"/>
      <c r="L60" s="175"/>
      <c r="M60" s="175">
        <v>600</v>
      </c>
      <c r="N60" s="175">
        <v>5911</v>
      </c>
      <c r="O60" s="175"/>
      <c r="P60" s="175"/>
      <c r="Q60" s="175">
        <f t="shared" si="32"/>
        <v>6511</v>
      </c>
      <c r="R60" s="170"/>
      <c r="S60" s="170"/>
      <c r="T60" s="175"/>
      <c r="U60" s="175"/>
      <c r="V60" s="175">
        <v>600</v>
      </c>
      <c r="W60" s="175">
        <v>505</v>
      </c>
      <c r="X60" s="175"/>
      <c r="Y60" s="170">
        <v>1105</v>
      </c>
      <c r="Z60" s="170">
        <v>905.143</v>
      </c>
      <c r="AA60" s="170">
        <f>Y60-Z60</f>
        <v>199.85699999999997</v>
      </c>
      <c r="AB60" s="170">
        <v>169.87</v>
      </c>
      <c r="AC60" s="175">
        <f t="shared" si="19"/>
        <v>1105</v>
      </c>
      <c r="AD60" s="175">
        <f t="shared" si="23"/>
        <v>1105</v>
      </c>
      <c r="AE60" s="175">
        <f t="shared" si="22"/>
        <v>5406</v>
      </c>
      <c r="AF60" s="170"/>
      <c r="AG60" s="175"/>
      <c r="AH60" s="171" t="s">
        <v>83</v>
      </c>
      <c r="AI60" s="172"/>
    </row>
    <row r="61" spans="1:35" ht="30.75">
      <c r="A61" s="171" t="s">
        <v>204</v>
      </c>
      <c r="B61" s="172" t="s">
        <v>201</v>
      </c>
      <c r="C61" s="174"/>
      <c r="D61" s="174"/>
      <c r="E61" s="171"/>
      <c r="F61" s="175"/>
      <c r="G61" s="175"/>
      <c r="H61" s="176"/>
      <c r="I61" s="175"/>
      <c r="J61" s="175"/>
      <c r="K61" s="175"/>
      <c r="L61" s="175"/>
      <c r="M61" s="175">
        <v>670</v>
      </c>
      <c r="N61" s="175">
        <v>4385</v>
      </c>
      <c r="O61" s="175"/>
      <c r="P61" s="175"/>
      <c r="Q61" s="175">
        <f t="shared" si="32"/>
        <v>5055</v>
      </c>
      <c r="R61" s="170"/>
      <c r="S61" s="170"/>
      <c r="T61" s="175"/>
      <c r="U61" s="175"/>
      <c r="V61" s="175">
        <v>670</v>
      </c>
      <c r="W61" s="175">
        <v>200</v>
      </c>
      <c r="X61" s="175"/>
      <c r="Y61" s="170">
        <v>870</v>
      </c>
      <c r="Z61" s="170">
        <v>825</v>
      </c>
      <c r="AA61" s="170">
        <f>Y61-Z61</f>
        <v>45</v>
      </c>
      <c r="AB61" s="170">
        <v>45</v>
      </c>
      <c r="AC61" s="175">
        <f t="shared" si="19"/>
        <v>870</v>
      </c>
      <c r="AD61" s="175">
        <f t="shared" si="23"/>
        <v>870</v>
      </c>
      <c r="AE61" s="175">
        <f t="shared" si="22"/>
        <v>4185</v>
      </c>
      <c r="AF61" s="170"/>
      <c r="AG61" s="175"/>
      <c r="AH61" s="171" t="s">
        <v>87</v>
      </c>
      <c r="AI61" s="172"/>
    </row>
    <row r="62" spans="1:38" ht="30.75">
      <c r="A62" s="171" t="s">
        <v>204</v>
      </c>
      <c r="B62" s="172" t="s">
        <v>150</v>
      </c>
      <c r="C62" s="174"/>
      <c r="D62" s="174"/>
      <c r="E62" s="171"/>
      <c r="F62" s="175"/>
      <c r="G62" s="175"/>
      <c r="H62" s="176"/>
      <c r="I62" s="175"/>
      <c r="J62" s="175"/>
      <c r="K62" s="175"/>
      <c r="L62" s="175"/>
      <c r="M62" s="175">
        <v>600</v>
      </c>
      <c r="N62" s="175">
        <v>4645</v>
      </c>
      <c r="O62" s="175"/>
      <c r="P62" s="175"/>
      <c r="Q62" s="175">
        <f t="shared" si="32"/>
        <v>5245</v>
      </c>
      <c r="R62" s="170"/>
      <c r="S62" s="170"/>
      <c r="T62" s="175"/>
      <c r="U62" s="175"/>
      <c r="V62" s="175">
        <v>600</v>
      </c>
      <c r="W62" s="175">
        <v>311</v>
      </c>
      <c r="X62" s="175"/>
      <c r="Y62" s="170">
        <v>911</v>
      </c>
      <c r="Z62" s="170">
        <v>882</v>
      </c>
      <c r="AA62" s="170">
        <f>Y62-Z62</f>
        <v>29</v>
      </c>
      <c r="AB62" s="170">
        <v>29</v>
      </c>
      <c r="AC62" s="175">
        <f t="shared" si="19"/>
        <v>911</v>
      </c>
      <c r="AD62" s="175">
        <f t="shared" si="23"/>
        <v>911</v>
      </c>
      <c r="AE62" s="175">
        <f t="shared" si="22"/>
        <v>4334</v>
      </c>
      <c r="AF62" s="170"/>
      <c r="AG62" s="175"/>
      <c r="AH62" s="171" t="s">
        <v>92</v>
      </c>
      <c r="AI62" s="172"/>
      <c r="AL62" s="357"/>
    </row>
    <row r="63" spans="1:40" ht="24.75" customHeight="1">
      <c r="A63" s="171" t="s">
        <v>204</v>
      </c>
      <c r="B63" s="172" t="s">
        <v>153</v>
      </c>
      <c r="C63" s="174"/>
      <c r="D63" s="174"/>
      <c r="E63" s="171"/>
      <c r="F63" s="175"/>
      <c r="G63" s="175"/>
      <c r="H63" s="176"/>
      <c r="I63" s="175"/>
      <c r="J63" s="175"/>
      <c r="K63" s="175"/>
      <c r="L63" s="175"/>
      <c r="M63" s="175">
        <v>750</v>
      </c>
      <c r="N63" s="175">
        <v>5389</v>
      </c>
      <c r="O63" s="175"/>
      <c r="P63" s="175"/>
      <c r="Q63" s="175">
        <f t="shared" si="32"/>
        <v>6139</v>
      </c>
      <c r="R63" s="170"/>
      <c r="S63" s="170"/>
      <c r="T63" s="175"/>
      <c r="U63" s="175"/>
      <c r="V63" s="175">
        <v>750</v>
      </c>
      <c r="W63" s="175">
        <v>239</v>
      </c>
      <c r="X63" s="175"/>
      <c r="Y63" s="170">
        <v>989</v>
      </c>
      <c r="Z63" s="170">
        <v>531</v>
      </c>
      <c r="AA63" s="170">
        <f>Y63-Z63</f>
        <v>458</v>
      </c>
      <c r="AB63" s="170">
        <f>AA63</f>
        <v>458</v>
      </c>
      <c r="AC63" s="175">
        <f t="shared" si="19"/>
        <v>989</v>
      </c>
      <c r="AD63" s="175">
        <f t="shared" si="23"/>
        <v>989</v>
      </c>
      <c r="AE63" s="175">
        <f t="shared" si="22"/>
        <v>5150</v>
      </c>
      <c r="AF63" s="170"/>
      <c r="AG63" s="175"/>
      <c r="AH63" s="171" t="s">
        <v>85</v>
      </c>
      <c r="AI63" s="172"/>
      <c r="AL63" s="357"/>
      <c r="AN63" s="357"/>
    </row>
    <row r="64" spans="1:37" ht="24.75" customHeight="1">
      <c r="A64" s="171" t="s">
        <v>204</v>
      </c>
      <c r="B64" s="172" t="s">
        <v>154</v>
      </c>
      <c r="C64" s="174"/>
      <c r="D64" s="174"/>
      <c r="E64" s="171"/>
      <c r="F64" s="175"/>
      <c r="G64" s="175"/>
      <c r="H64" s="176"/>
      <c r="I64" s="175"/>
      <c r="J64" s="175"/>
      <c r="K64" s="175"/>
      <c r="L64" s="175"/>
      <c r="M64" s="175">
        <v>820</v>
      </c>
      <c r="N64" s="175">
        <v>5929</v>
      </c>
      <c r="O64" s="175"/>
      <c r="P64" s="175"/>
      <c r="Q64" s="175">
        <f t="shared" si="32"/>
        <v>6749</v>
      </c>
      <c r="R64" s="170"/>
      <c r="S64" s="170"/>
      <c r="T64" s="175"/>
      <c r="U64" s="175"/>
      <c r="V64" s="175">
        <v>820</v>
      </c>
      <c r="W64" s="175">
        <v>313</v>
      </c>
      <c r="X64" s="175"/>
      <c r="Y64" s="170">
        <v>1133</v>
      </c>
      <c r="Z64" s="170">
        <v>1088</v>
      </c>
      <c r="AA64" s="170">
        <v>45</v>
      </c>
      <c r="AB64" s="170">
        <v>37</v>
      </c>
      <c r="AC64" s="175">
        <f t="shared" si="19"/>
        <v>1133</v>
      </c>
      <c r="AD64" s="175">
        <f t="shared" si="23"/>
        <v>1133</v>
      </c>
      <c r="AE64" s="175">
        <f t="shared" si="22"/>
        <v>5616</v>
      </c>
      <c r="AF64" s="170"/>
      <c r="AG64" s="175"/>
      <c r="AH64" s="171" t="s">
        <v>94</v>
      </c>
      <c r="AI64" s="172"/>
      <c r="AK64" s="357"/>
    </row>
    <row r="65" spans="1:35" ht="24.75" customHeight="1">
      <c r="A65" s="171" t="s">
        <v>204</v>
      </c>
      <c r="B65" s="172" t="s">
        <v>152</v>
      </c>
      <c r="C65" s="174"/>
      <c r="D65" s="174"/>
      <c r="E65" s="171"/>
      <c r="F65" s="175"/>
      <c r="G65" s="175"/>
      <c r="H65" s="176"/>
      <c r="I65" s="175"/>
      <c r="J65" s="175"/>
      <c r="K65" s="175"/>
      <c r="L65" s="175"/>
      <c r="M65" s="175">
        <v>960</v>
      </c>
      <c r="N65" s="175">
        <v>7456</v>
      </c>
      <c r="O65" s="175"/>
      <c r="P65" s="175"/>
      <c r="Q65" s="175">
        <f t="shared" si="32"/>
        <v>8416</v>
      </c>
      <c r="R65" s="170"/>
      <c r="S65" s="170"/>
      <c r="T65" s="175"/>
      <c r="U65" s="175"/>
      <c r="V65" s="175">
        <v>960</v>
      </c>
      <c r="W65" s="175">
        <v>456</v>
      </c>
      <c r="X65" s="175"/>
      <c r="Y65" s="170">
        <v>1416</v>
      </c>
      <c r="Z65" s="170">
        <v>1309</v>
      </c>
      <c r="AA65" s="170">
        <f>Y65-Z65</f>
        <v>107</v>
      </c>
      <c r="AB65" s="170">
        <v>100.89</v>
      </c>
      <c r="AC65" s="175">
        <f t="shared" si="19"/>
        <v>1416</v>
      </c>
      <c r="AD65" s="175">
        <f t="shared" si="23"/>
        <v>1416</v>
      </c>
      <c r="AE65" s="175">
        <f aca="true" t="shared" si="33" ref="AE65:AE76">Q65-R65-Y65</f>
        <v>7000</v>
      </c>
      <c r="AF65" s="170"/>
      <c r="AG65" s="175"/>
      <c r="AH65" s="171" t="s">
        <v>89</v>
      </c>
      <c r="AI65" s="172"/>
    </row>
    <row r="66" spans="1:35" ht="24.75" customHeight="1">
      <c r="A66" s="171" t="s">
        <v>206</v>
      </c>
      <c r="B66" s="172" t="s">
        <v>202</v>
      </c>
      <c r="C66" s="174"/>
      <c r="D66" s="174"/>
      <c r="E66" s="171"/>
      <c r="F66" s="175"/>
      <c r="G66" s="175"/>
      <c r="H66" s="176"/>
      <c r="I66" s="175"/>
      <c r="J66" s="175"/>
      <c r="K66" s="175"/>
      <c r="L66" s="170"/>
      <c r="M66" s="170">
        <f>M67</f>
        <v>1100</v>
      </c>
      <c r="N66" s="170">
        <f>N67</f>
        <v>40368</v>
      </c>
      <c r="O66" s="175"/>
      <c r="P66" s="175"/>
      <c r="Q66" s="170">
        <f>Q67</f>
        <v>41468</v>
      </c>
      <c r="R66" s="170">
        <f aca="true" t="shared" si="34" ref="R66:X66">R67</f>
        <v>0</v>
      </c>
      <c r="S66" s="170">
        <f t="shared" si="34"/>
        <v>0</v>
      </c>
      <c r="T66" s="170">
        <f t="shared" si="34"/>
        <v>0</v>
      </c>
      <c r="U66" s="170">
        <f t="shared" si="34"/>
        <v>0</v>
      </c>
      <c r="V66" s="170">
        <f t="shared" si="34"/>
        <v>1100</v>
      </c>
      <c r="W66" s="170">
        <f t="shared" si="34"/>
        <v>10033</v>
      </c>
      <c r="X66" s="170">
        <f t="shared" si="34"/>
        <v>0</v>
      </c>
      <c r="Y66" s="170">
        <f>Y67</f>
        <v>11133</v>
      </c>
      <c r="Z66" s="170">
        <f>Z67</f>
        <v>6641.371999999999</v>
      </c>
      <c r="AA66" s="170">
        <f>AA67</f>
        <v>4491.628000000001</v>
      </c>
      <c r="AB66" s="170">
        <f>AB67</f>
        <v>4489.0199999999995</v>
      </c>
      <c r="AC66" s="175">
        <f t="shared" si="19"/>
        <v>11133</v>
      </c>
      <c r="AD66" s="175">
        <f t="shared" si="23"/>
        <v>11133</v>
      </c>
      <c r="AE66" s="175">
        <f t="shared" si="33"/>
        <v>30335</v>
      </c>
      <c r="AF66" s="170">
        <v>11600</v>
      </c>
      <c r="AG66" s="175"/>
      <c r="AH66" s="171"/>
      <c r="AI66" s="171"/>
    </row>
    <row r="67" spans="1:35" ht="24.75" customHeight="1">
      <c r="A67" s="171">
        <v>1</v>
      </c>
      <c r="B67" s="187" t="s">
        <v>198</v>
      </c>
      <c r="C67" s="174"/>
      <c r="D67" s="174"/>
      <c r="E67" s="171"/>
      <c r="F67" s="175"/>
      <c r="G67" s="175"/>
      <c r="H67" s="176"/>
      <c r="I67" s="175"/>
      <c r="J67" s="175"/>
      <c r="K67" s="175"/>
      <c r="L67" s="170"/>
      <c r="M67" s="170">
        <f>SUM(M68:M75)</f>
        <v>1100</v>
      </c>
      <c r="N67" s="170">
        <f>SUM(N68:N75)</f>
        <v>40368</v>
      </c>
      <c r="O67" s="175"/>
      <c r="P67" s="175"/>
      <c r="Q67" s="170">
        <f>SUM(Q68:Q75)</f>
        <v>41468</v>
      </c>
      <c r="R67" s="170">
        <f aca="true" t="shared" si="35" ref="R67:X67">SUM(R68:R75)</f>
        <v>0</v>
      </c>
      <c r="S67" s="170">
        <f t="shared" si="35"/>
        <v>0</v>
      </c>
      <c r="T67" s="170">
        <f t="shared" si="35"/>
        <v>0</v>
      </c>
      <c r="U67" s="170">
        <f t="shared" si="35"/>
        <v>0</v>
      </c>
      <c r="V67" s="170">
        <f t="shared" si="35"/>
        <v>1100</v>
      </c>
      <c r="W67" s="170">
        <f t="shared" si="35"/>
        <v>10033</v>
      </c>
      <c r="X67" s="170">
        <f t="shared" si="35"/>
        <v>0</v>
      </c>
      <c r="Y67" s="170">
        <f>SUM(Y68:Y75)</f>
        <v>11133</v>
      </c>
      <c r="Z67" s="170">
        <f aca="true" t="shared" si="36" ref="Z67:AG67">SUM(Z68:Z75)</f>
        <v>6641.371999999999</v>
      </c>
      <c r="AA67" s="170">
        <f t="shared" si="36"/>
        <v>4491.628000000001</v>
      </c>
      <c r="AB67" s="170">
        <f>SUM(AB68:AB75)</f>
        <v>4489.0199999999995</v>
      </c>
      <c r="AC67" s="170">
        <f t="shared" si="36"/>
        <v>11133</v>
      </c>
      <c r="AD67" s="170">
        <f t="shared" si="36"/>
        <v>11133</v>
      </c>
      <c r="AE67" s="170">
        <f t="shared" si="36"/>
        <v>30335</v>
      </c>
      <c r="AF67" s="170">
        <f t="shared" si="36"/>
        <v>0</v>
      </c>
      <c r="AG67" s="170">
        <f t="shared" si="36"/>
        <v>0</v>
      </c>
      <c r="AH67" s="171"/>
      <c r="AI67" s="171"/>
    </row>
    <row r="68" spans="1:35" ht="30.75">
      <c r="A68" s="171" t="s">
        <v>204</v>
      </c>
      <c r="B68" s="172" t="s">
        <v>156</v>
      </c>
      <c r="C68" s="174"/>
      <c r="D68" s="174"/>
      <c r="E68" s="171"/>
      <c r="F68" s="175"/>
      <c r="G68" s="175"/>
      <c r="H68" s="176"/>
      <c r="I68" s="175"/>
      <c r="J68" s="175"/>
      <c r="K68" s="175"/>
      <c r="L68" s="175"/>
      <c r="M68" s="175">
        <v>180</v>
      </c>
      <c r="N68" s="175">
        <v>2521</v>
      </c>
      <c r="O68" s="175"/>
      <c r="P68" s="175"/>
      <c r="Q68" s="175">
        <f aca="true" t="shared" si="37" ref="Q68:Q75">SUM(K68:O68)</f>
        <v>2701</v>
      </c>
      <c r="R68" s="170"/>
      <c r="S68" s="170"/>
      <c r="T68" s="175"/>
      <c r="U68" s="175"/>
      <c r="V68" s="175">
        <v>180</v>
      </c>
      <c r="W68" s="175">
        <v>1140</v>
      </c>
      <c r="X68" s="175"/>
      <c r="Y68" s="175">
        <v>1320</v>
      </c>
      <c r="Z68" s="363">
        <v>803.8</v>
      </c>
      <c r="AA68" s="363">
        <f aca="true" t="shared" si="38" ref="AA68:AA75">Y68-Z68</f>
        <v>516.2</v>
      </c>
      <c r="AB68" s="363">
        <v>516.2</v>
      </c>
      <c r="AC68" s="175">
        <f t="shared" si="19"/>
        <v>1320</v>
      </c>
      <c r="AD68" s="175">
        <f t="shared" si="23"/>
        <v>1320</v>
      </c>
      <c r="AE68" s="175">
        <f t="shared" si="33"/>
        <v>1381</v>
      </c>
      <c r="AF68" s="175"/>
      <c r="AG68" s="175"/>
      <c r="AH68" s="171" t="s">
        <v>84</v>
      </c>
      <c r="AI68" s="172"/>
    </row>
    <row r="69" spans="1:35" ht="28.5" customHeight="1">
      <c r="A69" s="171" t="s">
        <v>204</v>
      </c>
      <c r="B69" s="172" t="s">
        <v>151</v>
      </c>
      <c r="C69" s="174"/>
      <c r="D69" s="174"/>
      <c r="E69" s="171"/>
      <c r="F69" s="175"/>
      <c r="G69" s="175"/>
      <c r="H69" s="176"/>
      <c r="I69" s="175"/>
      <c r="J69" s="175"/>
      <c r="K69" s="175"/>
      <c r="L69" s="175"/>
      <c r="M69" s="175">
        <v>575</v>
      </c>
      <c r="N69" s="175">
        <v>28180</v>
      </c>
      <c r="O69" s="175"/>
      <c r="P69" s="175"/>
      <c r="Q69" s="175">
        <f t="shared" si="37"/>
        <v>28755</v>
      </c>
      <c r="R69" s="170"/>
      <c r="S69" s="170"/>
      <c r="T69" s="175"/>
      <c r="U69" s="175"/>
      <c r="V69" s="175">
        <v>575</v>
      </c>
      <c r="W69" s="175">
        <v>3807</v>
      </c>
      <c r="X69" s="175"/>
      <c r="Y69" s="175">
        <v>4382</v>
      </c>
      <c r="Z69" s="175">
        <v>799.972</v>
      </c>
      <c r="AA69" s="170">
        <f t="shared" si="38"/>
        <v>3582.0280000000002</v>
      </c>
      <c r="AB69" s="175">
        <v>3579.42</v>
      </c>
      <c r="AC69" s="175">
        <f t="shared" si="19"/>
        <v>4382</v>
      </c>
      <c r="AD69" s="175">
        <f t="shared" si="23"/>
        <v>4382</v>
      </c>
      <c r="AE69" s="175">
        <f t="shared" si="33"/>
        <v>24373</v>
      </c>
      <c r="AF69" s="175"/>
      <c r="AG69" s="175"/>
      <c r="AH69" s="171" t="s">
        <v>83</v>
      </c>
      <c r="AI69" s="172"/>
    </row>
    <row r="70" spans="1:35" ht="30.75">
      <c r="A70" s="171" t="s">
        <v>204</v>
      </c>
      <c r="B70" s="172" t="s">
        <v>201</v>
      </c>
      <c r="C70" s="174"/>
      <c r="D70" s="174"/>
      <c r="E70" s="171"/>
      <c r="F70" s="175"/>
      <c r="G70" s="175"/>
      <c r="H70" s="176"/>
      <c r="I70" s="175"/>
      <c r="J70" s="175"/>
      <c r="K70" s="175"/>
      <c r="L70" s="175"/>
      <c r="M70" s="175">
        <v>16</v>
      </c>
      <c r="N70" s="175">
        <v>872</v>
      </c>
      <c r="O70" s="175"/>
      <c r="P70" s="175"/>
      <c r="Q70" s="175">
        <f t="shared" si="37"/>
        <v>888</v>
      </c>
      <c r="R70" s="170"/>
      <c r="S70" s="170"/>
      <c r="T70" s="175"/>
      <c r="U70" s="175"/>
      <c r="V70" s="175">
        <v>16</v>
      </c>
      <c r="W70" s="175">
        <v>716</v>
      </c>
      <c r="X70" s="175"/>
      <c r="Y70" s="175">
        <v>732</v>
      </c>
      <c r="Z70" s="175">
        <v>732</v>
      </c>
      <c r="AA70" s="170">
        <f t="shared" si="38"/>
        <v>0</v>
      </c>
      <c r="AB70" s="175">
        <v>0</v>
      </c>
      <c r="AC70" s="175">
        <f t="shared" si="19"/>
        <v>732</v>
      </c>
      <c r="AD70" s="175">
        <f t="shared" si="23"/>
        <v>732</v>
      </c>
      <c r="AE70" s="175">
        <f t="shared" si="33"/>
        <v>156</v>
      </c>
      <c r="AF70" s="175"/>
      <c r="AG70" s="175"/>
      <c r="AH70" s="171" t="s">
        <v>87</v>
      </c>
      <c r="AI70" s="172"/>
    </row>
    <row r="71" spans="1:39" ht="30.75">
      <c r="A71" s="171" t="s">
        <v>204</v>
      </c>
      <c r="B71" s="172" t="s">
        <v>150</v>
      </c>
      <c r="C71" s="174"/>
      <c r="D71" s="174"/>
      <c r="E71" s="171"/>
      <c r="F71" s="175"/>
      <c r="G71" s="175"/>
      <c r="H71" s="176"/>
      <c r="I71" s="175"/>
      <c r="J71" s="175"/>
      <c r="K71" s="175"/>
      <c r="L71" s="175"/>
      <c r="M71" s="175">
        <v>148</v>
      </c>
      <c r="N71" s="175">
        <v>4850</v>
      </c>
      <c r="O71" s="175"/>
      <c r="P71" s="175"/>
      <c r="Q71" s="175">
        <f t="shared" si="37"/>
        <v>4998</v>
      </c>
      <c r="R71" s="170"/>
      <c r="S71" s="170"/>
      <c r="T71" s="175"/>
      <c r="U71" s="175"/>
      <c r="V71" s="175">
        <v>148</v>
      </c>
      <c r="W71" s="175">
        <v>1316</v>
      </c>
      <c r="X71" s="175"/>
      <c r="Y71" s="175">
        <v>1464</v>
      </c>
      <c r="Z71" s="175">
        <v>1444</v>
      </c>
      <c r="AA71" s="175">
        <f t="shared" si="38"/>
        <v>20</v>
      </c>
      <c r="AB71" s="175">
        <v>20</v>
      </c>
      <c r="AC71" s="175">
        <f t="shared" si="19"/>
        <v>1464</v>
      </c>
      <c r="AD71" s="175">
        <f aca="true" t="shared" si="39" ref="AD71:AD87">R71+Y71</f>
        <v>1464</v>
      </c>
      <c r="AE71" s="175">
        <f t="shared" si="33"/>
        <v>3534</v>
      </c>
      <c r="AF71" s="175"/>
      <c r="AG71" s="175"/>
      <c r="AH71" s="171" t="s">
        <v>92</v>
      </c>
      <c r="AI71" s="172"/>
      <c r="AM71" s="199"/>
    </row>
    <row r="72" spans="1:35" ht="30.75">
      <c r="A72" s="171" t="s">
        <v>204</v>
      </c>
      <c r="B72" s="172" t="s">
        <v>149</v>
      </c>
      <c r="C72" s="174"/>
      <c r="D72" s="174"/>
      <c r="E72" s="171"/>
      <c r="F72" s="175"/>
      <c r="G72" s="175"/>
      <c r="H72" s="176"/>
      <c r="I72" s="175"/>
      <c r="J72" s="175"/>
      <c r="K72" s="175"/>
      <c r="L72" s="175"/>
      <c r="M72" s="175">
        <v>33</v>
      </c>
      <c r="N72" s="175">
        <v>305</v>
      </c>
      <c r="O72" s="175"/>
      <c r="P72" s="175"/>
      <c r="Q72" s="175">
        <f t="shared" si="37"/>
        <v>338</v>
      </c>
      <c r="R72" s="170"/>
      <c r="S72" s="170"/>
      <c r="T72" s="175"/>
      <c r="U72" s="175"/>
      <c r="V72" s="175">
        <v>33</v>
      </c>
      <c r="W72" s="175">
        <v>53</v>
      </c>
      <c r="X72" s="175"/>
      <c r="Y72" s="175">
        <v>86</v>
      </c>
      <c r="Z72" s="175">
        <f>76+5</f>
        <v>81</v>
      </c>
      <c r="AA72" s="175">
        <f t="shared" si="38"/>
        <v>5</v>
      </c>
      <c r="AB72" s="175">
        <v>5</v>
      </c>
      <c r="AC72" s="175">
        <f t="shared" si="19"/>
        <v>86</v>
      </c>
      <c r="AD72" s="175">
        <f t="shared" si="39"/>
        <v>86</v>
      </c>
      <c r="AE72" s="175">
        <f t="shared" si="33"/>
        <v>252</v>
      </c>
      <c r="AF72" s="175"/>
      <c r="AG72" s="175"/>
      <c r="AH72" s="171" t="s">
        <v>70</v>
      </c>
      <c r="AI72" s="172"/>
    </row>
    <row r="73" spans="1:35" ht="31.5" customHeight="1">
      <c r="A73" s="171" t="s">
        <v>204</v>
      </c>
      <c r="B73" s="172" t="s">
        <v>154</v>
      </c>
      <c r="C73" s="174"/>
      <c r="D73" s="174"/>
      <c r="E73" s="171"/>
      <c r="F73" s="175"/>
      <c r="G73" s="175"/>
      <c r="H73" s="176"/>
      <c r="I73" s="175"/>
      <c r="J73" s="175"/>
      <c r="K73" s="175"/>
      <c r="L73" s="175"/>
      <c r="M73" s="175">
        <v>66</v>
      </c>
      <c r="N73" s="175">
        <v>1468</v>
      </c>
      <c r="O73" s="175"/>
      <c r="P73" s="175"/>
      <c r="Q73" s="175">
        <f t="shared" si="37"/>
        <v>1534</v>
      </c>
      <c r="R73" s="170"/>
      <c r="S73" s="170"/>
      <c r="T73" s="175"/>
      <c r="U73" s="175"/>
      <c r="V73" s="175">
        <v>66</v>
      </c>
      <c r="W73" s="175">
        <v>966</v>
      </c>
      <c r="X73" s="175"/>
      <c r="Y73" s="175">
        <v>1032</v>
      </c>
      <c r="Z73" s="175">
        <v>1032</v>
      </c>
      <c r="AA73" s="175">
        <f t="shared" si="38"/>
        <v>0</v>
      </c>
      <c r="AB73" s="175"/>
      <c r="AC73" s="175">
        <f t="shared" si="19"/>
        <v>1032</v>
      </c>
      <c r="AD73" s="175">
        <f t="shared" si="39"/>
        <v>1032</v>
      </c>
      <c r="AE73" s="175">
        <f t="shared" si="33"/>
        <v>502</v>
      </c>
      <c r="AF73" s="175"/>
      <c r="AG73" s="175"/>
      <c r="AH73" s="171" t="s">
        <v>94</v>
      </c>
      <c r="AI73" s="172"/>
    </row>
    <row r="74" spans="1:37" ht="31.5" customHeight="1">
      <c r="A74" s="171" t="s">
        <v>204</v>
      </c>
      <c r="B74" s="172" t="s">
        <v>152</v>
      </c>
      <c r="C74" s="174"/>
      <c r="D74" s="174"/>
      <c r="E74" s="171"/>
      <c r="F74" s="175"/>
      <c r="G74" s="175"/>
      <c r="H74" s="176"/>
      <c r="I74" s="175"/>
      <c r="J74" s="175"/>
      <c r="K74" s="175"/>
      <c r="L74" s="175"/>
      <c r="M74" s="175">
        <v>82</v>
      </c>
      <c r="N74" s="175">
        <v>1310</v>
      </c>
      <c r="O74" s="175"/>
      <c r="P74" s="175"/>
      <c r="Q74" s="175">
        <f t="shared" si="37"/>
        <v>1392</v>
      </c>
      <c r="R74" s="170"/>
      <c r="S74" s="170"/>
      <c r="T74" s="175"/>
      <c r="U74" s="175"/>
      <c r="V74" s="175">
        <v>82</v>
      </c>
      <c r="W74" s="175">
        <v>1173</v>
      </c>
      <c r="X74" s="175"/>
      <c r="Y74" s="175">
        <v>1255</v>
      </c>
      <c r="Z74" s="175">
        <v>1238.6</v>
      </c>
      <c r="AA74" s="363">
        <f t="shared" si="38"/>
        <v>16.40000000000009</v>
      </c>
      <c r="AB74" s="175">
        <v>16.4</v>
      </c>
      <c r="AC74" s="175">
        <f t="shared" si="19"/>
        <v>1255</v>
      </c>
      <c r="AD74" s="175">
        <f t="shared" si="39"/>
        <v>1255</v>
      </c>
      <c r="AE74" s="175">
        <f t="shared" si="33"/>
        <v>137</v>
      </c>
      <c r="AF74" s="175"/>
      <c r="AG74" s="175"/>
      <c r="AH74" s="171" t="s">
        <v>89</v>
      </c>
      <c r="AI74" s="172"/>
      <c r="AK74" s="364"/>
    </row>
    <row r="75" spans="1:38" ht="31.5" customHeight="1">
      <c r="A75" s="173" t="s">
        <v>204</v>
      </c>
      <c r="B75" s="172" t="s">
        <v>153</v>
      </c>
      <c r="C75" s="174"/>
      <c r="D75" s="174"/>
      <c r="E75" s="171"/>
      <c r="F75" s="175"/>
      <c r="G75" s="175"/>
      <c r="H75" s="176"/>
      <c r="I75" s="175"/>
      <c r="J75" s="175"/>
      <c r="K75" s="175"/>
      <c r="L75" s="175"/>
      <c r="M75" s="175"/>
      <c r="N75" s="175">
        <v>862</v>
      </c>
      <c r="O75" s="175"/>
      <c r="P75" s="175"/>
      <c r="Q75" s="175">
        <f t="shared" si="37"/>
        <v>862</v>
      </c>
      <c r="R75" s="170"/>
      <c r="S75" s="170"/>
      <c r="T75" s="175"/>
      <c r="U75" s="175"/>
      <c r="V75" s="175"/>
      <c r="W75" s="175">
        <v>862</v>
      </c>
      <c r="X75" s="175"/>
      <c r="Y75" s="170">
        <v>862</v>
      </c>
      <c r="Z75" s="170">
        <v>510</v>
      </c>
      <c r="AA75" s="175">
        <f t="shared" si="38"/>
        <v>352</v>
      </c>
      <c r="AB75" s="170">
        <f>AA75</f>
        <v>352</v>
      </c>
      <c r="AC75" s="175">
        <f t="shared" si="19"/>
        <v>862</v>
      </c>
      <c r="AD75" s="175">
        <f t="shared" si="39"/>
        <v>862</v>
      </c>
      <c r="AE75" s="175">
        <f t="shared" si="33"/>
        <v>0</v>
      </c>
      <c r="AF75" s="170"/>
      <c r="AG75" s="175"/>
      <c r="AH75" s="171" t="s">
        <v>85</v>
      </c>
      <c r="AI75" s="172"/>
      <c r="AL75" s="357"/>
    </row>
    <row r="76" spans="1:35" ht="31.5" customHeight="1">
      <c r="A76" s="195" t="s">
        <v>147</v>
      </c>
      <c r="B76" s="196" t="s">
        <v>148</v>
      </c>
      <c r="C76" s="197"/>
      <c r="D76" s="197"/>
      <c r="E76" s="195"/>
      <c r="F76" s="178">
        <v>0</v>
      </c>
      <c r="G76" s="178">
        <v>0</v>
      </c>
      <c r="H76" s="206">
        <v>0</v>
      </c>
      <c r="I76" s="178">
        <v>0</v>
      </c>
      <c r="J76" s="178">
        <v>0</v>
      </c>
      <c r="K76" s="178" t="e">
        <f>#REF!+#REF!</f>
        <v>#REF!</v>
      </c>
      <c r="L76" s="178"/>
      <c r="M76" s="178"/>
      <c r="N76" s="178"/>
      <c r="O76" s="178"/>
      <c r="P76" s="178"/>
      <c r="Q76" s="178" t="e">
        <f>#REF!+#REF!</f>
        <v>#REF!</v>
      </c>
      <c r="R76" s="204" t="e">
        <f>#REF!+#REF!</f>
        <v>#REF!</v>
      </c>
      <c r="S76" s="204" t="e">
        <f>#REF!+#REF!</f>
        <v>#REF!</v>
      </c>
      <c r="T76" s="178" t="e">
        <f>#REF!+#REF!</f>
        <v>#REF!</v>
      </c>
      <c r="U76" s="178" t="e">
        <f>#REF!+#REF!</f>
        <v>#REF!</v>
      </c>
      <c r="V76" s="178" t="e">
        <f>#REF!+#REF!</f>
        <v>#REF!</v>
      </c>
      <c r="W76" s="178" t="e">
        <f>#REF!+#REF!</f>
        <v>#REF!</v>
      </c>
      <c r="X76" s="178" t="e">
        <f>#REF!+#REF!</f>
        <v>#REF!</v>
      </c>
      <c r="Y76" s="178" t="e">
        <f>#REF!+#REF!</f>
        <v>#REF!</v>
      </c>
      <c r="Z76" s="178" t="e">
        <f>#REF!+#REF!</f>
        <v>#REF!</v>
      </c>
      <c r="AA76" s="178" t="e">
        <f>#REF!+#REF!</f>
        <v>#REF!</v>
      </c>
      <c r="AB76" s="178">
        <f>SUM(AB77:AB79)</f>
        <v>4762.157999999999</v>
      </c>
      <c r="AC76" s="178" t="e">
        <f aca="true" t="shared" si="40" ref="AC76:AC87">T76+Y76</f>
        <v>#REF!</v>
      </c>
      <c r="AD76" s="178" t="e">
        <f t="shared" si="39"/>
        <v>#REF!</v>
      </c>
      <c r="AE76" s="178" t="e">
        <f t="shared" si="33"/>
        <v>#REF!</v>
      </c>
      <c r="AF76" s="178" t="e">
        <f>#REF!+#REF!</f>
        <v>#REF!</v>
      </c>
      <c r="AG76" s="178"/>
      <c r="AH76" s="178"/>
      <c r="AI76" s="195"/>
    </row>
    <row r="77" spans="1:35" ht="30.75">
      <c r="A77" s="171">
        <v>1</v>
      </c>
      <c r="B77" s="208" t="s">
        <v>149</v>
      </c>
      <c r="C77" s="174"/>
      <c r="D77" s="174"/>
      <c r="E77" s="171"/>
      <c r="F77" s="175"/>
      <c r="G77" s="175"/>
      <c r="H77" s="176"/>
      <c r="I77" s="175"/>
      <c r="J77" s="175"/>
      <c r="K77" s="175">
        <v>109898</v>
      </c>
      <c r="L77" s="175"/>
      <c r="M77" s="175"/>
      <c r="N77" s="175"/>
      <c r="O77" s="175"/>
      <c r="P77" s="175"/>
      <c r="Q77" s="175">
        <v>109897.62757663679</v>
      </c>
      <c r="R77" s="170">
        <v>18244</v>
      </c>
      <c r="S77" s="170">
        <v>17633</v>
      </c>
      <c r="T77" s="175">
        <f>J77+R77</f>
        <v>18244</v>
      </c>
      <c r="U77" s="175">
        <v>14926</v>
      </c>
      <c r="V77" s="175"/>
      <c r="W77" s="175"/>
      <c r="X77" s="175"/>
      <c r="Y77" s="213">
        <f>19496.0651226077-4570</f>
        <v>14926.065122607699</v>
      </c>
      <c r="Z77" s="213">
        <v>13717</v>
      </c>
      <c r="AA77" s="175">
        <f>Y77-Z77</f>
        <v>1209.0651226076989</v>
      </c>
      <c r="AB77" s="213">
        <v>1209</v>
      </c>
      <c r="AC77" s="175">
        <f t="shared" si="40"/>
        <v>33170.0651226077</v>
      </c>
      <c r="AD77" s="175">
        <f t="shared" si="39"/>
        <v>33170.0651226077</v>
      </c>
      <c r="AE77" s="175">
        <f>Q77-R77-Y77</f>
        <v>76727.56245402909</v>
      </c>
      <c r="AF77" s="175">
        <v>0</v>
      </c>
      <c r="AG77" s="175"/>
      <c r="AH77" s="171" t="s">
        <v>70</v>
      </c>
      <c r="AI77" s="171"/>
    </row>
    <row r="78" spans="1:35" ht="30.75">
      <c r="A78" s="171">
        <v>2</v>
      </c>
      <c r="B78" s="208" t="s">
        <v>155</v>
      </c>
      <c r="C78" s="174"/>
      <c r="D78" s="174"/>
      <c r="E78" s="171"/>
      <c r="F78" s="175"/>
      <c r="G78" s="175"/>
      <c r="H78" s="176"/>
      <c r="I78" s="175"/>
      <c r="J78" s="175"/>
      <c r="K78" s="175">
        <v>72084</v>
      </c>
      <c r="L78" s="175"/>
      <c r="M78" s="175"/>
      <c r="N78" s="175"/>
      <c r="O78" s="175"/>
      <c r="P78" s="175"/>
      <c r="Q78" s="175">
        <v>72084.03088742694</v>
      </c>
      <c r="R78" s="170">
        <v>12788</v>
      </c>
      <c r="S78" s="170">
        <v>11724</v>
      </c>
      <c r="T78" s="175">
        <f>J78+R78</f>
        <v>12788</v>
      </c>
      <c r="U78" s="175">
        <v>12788</v>
      </c>
      <c r="V78" s="175"/>
      <c r="W78" s="175"/>
      <c r="X78" s="175"/>
      <c r="Y78" s="213">
        <v>12787.855311083198</v>
      </c>
      <c r="Z78" s="213">
        <v>9641</v>
      </c>
      <c r="AA78" s="170">
        <v>3147.158</v>
      </c>
      <c r="AB78" s="213">
        <v>3147.158</v>
      </c>
      <c r="AC78" s="175">
        <f t="shared" si="40"/>
        <v>25575.8553110832</v>
      </c>
      <c r="AD78" s="175">
        <f t="shared" si="39"/>
        <v>25575.8553110832</v>
      </c>
      <c r="AE78" s="175">
        <f>Q78-R78-Y78</f>
        <v>46508.17557634374</v>
      </c>
      <c r="AF78" s="175">
        <v>13440</v>
      </c>
      <c r="AG78" s="175"/>
      <c r="AH78" s="171" t="s">
        <v>87</v>
      </c>
      <c r="AI78" s="171"/>
    </row>
    <row r="79" spans="1:35" ht="31.5" customHeight="1">
      <c r="A79" s="171">
        <v>3</v>
      </c>
      <c r="B79" s="208" t="s">
        <v>151</v>
      </c>
      <c r="C79" s="174"/>
      <c r="D79" s="174"/>
      <c r="E79" s="171"/>
      <c r="F79" s="175"/>
      <c r="G79" s="175"/>
      <c r="H79" s="176"/>
      <c r="I79" s="175"/>
      <c r="J79" s="175"/>
      <c r="K79" s="175">
        <v>104511</v>
      </c>
      <c r="L79" s="175"/>
      <c r="M79" s="175"/>
      <c r="N79" s="175"/>
      <c r="O79" s="175"/>
      <c r="P79" s="175"/>
      <c r="Q79" s="175">
        <v>104511.22804946094</v>
      </c>
      <c r="R79" s="170">
        <v>17967</v>
      </c>
      <c r="S79" s="170">
        <v>17735</v>
      </c>
      <c r="T79" s="175">
        <f>J79+R79</f>
        <v>17967</v>
      </c>
      <c r="U79" s="175">
        <v>18540.5</v>
      </c>
      <c r="V79" s="175"/>
      <c r="W79" s="175"/>
      <c r="X79" s="175"/>
      <c r="Y79" s="213">
        <v>18540.506770040207</v>
      </c>
      <c r="Z79" s="213">
        <v>17997</v>
      </c>
      <c r="AA79" s="170">
        <f>Y79-Z79</f>
        <v>543.5067700402069</v>
      </c>
      <c r="AB79" s="213">
        <v>406</v>
      </c>
      <c r="AC79" s="175">
        <f t="shared" si="40"/>
        <v>36507.50677004021</v>
      </c>
      <c r="AD79" s="175">
        <f t="shared" si="39"/>
        <v>36507.50677004021</v>
      </c>
      <c r="AE79" s="175">
        <f>Q79-R79-Y79</f>
        <v>68003.72127942074</v>
      </c>
      <c r="AF79" s="175">
        <v>19486</v>
      </c>
      <c r="AG79" s="175"/>
      <c r="AH79" s="171" t="s">
        <v>83</v>
      </c>
      <c r="AI79" s="171"/>
    </row>
    <row r="80" spans="1:35" ht="30" customHeight="1">
      <c r="A80" s="195" t="s">
        <v>157</v>
      </c>
      <c r="B80" s="196" t="s">
        <v>158</v>
      </c>
      <c r="C80" s="197"/>
      <c r="D80" s="197"/>
      <c r="E80" s="195"/>
      <c r="F80" s="178"/>
      <c r="G80" s="178"/>
      <c r="H80" s="206"/>
      <c r="I80" s="178"/>
      <c r="J80" s="178"/>
      <c r="K80" s="178">
        <f aca="true" t="shared" si="41" ref="K80:U80">K81+K82</f>
        <v>149500</v>
      </c>
      <c r="L80" s="178">
        <f t="shared" si="41"/>
        <v>0</v>
      </c>
      <c r="M80" s="178">
        <f t="shared" si="41"/>
        <v>0</v>
      </c>
      <c r="N80" s="178">
        <f t="shared" si="41"/>
        <v>0</v>
      </c>
      <c r="O80" s="178">
        <f t="shared" si="41"/>
        <v>0</v>
      </c>
      <c r="P80" s="178">
        <f t="shared" si="41"/>
        <v>293500</v>
      </c>
      <c r="Q80" s="178">
        <f t="shared" si="41"/>
        <v>645606</v>
      </c>
      <c r="R80" s="204">
        <f t="shared" si="41"/>
        <v>29550</v>
      </c>
      <c r="S80" s="204">
        <f t="shared" si="41"/>
        <v>25230</v>
      </c>
      <c r="T80" s="178">
        <f t="shared" si="41"/>
        <v>29550</v>
      </c>
      <c r="U80" s="178">
        <f t="shared" si="41"/>
        <v>50000</v>
      </c>
      <c r="V80" s="178"/>
      <c r="W80" s="178"/>
      <c r="X80" s="178"/>
      <c r="Y80" s="178">
        <f>Y81+Y82</f>
        <v>50000</v>
      </c>
      <c r="Z80" s="178">
        <f>Z81+Z82</f>
        <v>12204.5236</v>
      </c>
      <c r="AA80" s="178">
        <f>AA81+AA82</f>
        <v>30696.249</v>
      </c>
      <c r="AB80" s="178">
        <f>AB81+AB82</f>
        <v>30696.222</v>
      </c>
      <c r="AC80" s="178">
        <f t="shared" si="40"/>
        <v>79550</v>
      </c>
      <c r="AD80" s="178">
        <f t="shared" si="39"/>
        <v>79550</v>
      </c>
      <c r="AE80" s="178">
        <f>Q80-R80-Y80</f>
        <v>566056</v>
      </c>
      <c r="AF80" s="178">
        <f>AF81+AF82</f>
        <v>239200</v>
      </c>
      <c r="AG80" s="178"/>
      <c r="AH80" s="178"/>
      <c r="AI80" s="195"/>
    </row>
    <row r="81" spans="1:35" s="198" customFormat="1" ht="30" customHeight="1">
      <c r="A81" s="195" t="s">
        <v>159</v>
      </c>
      <c r="B81" s="196" t="s">
        <v>170</v>
      </c>
      <c r="C81" s="197"/>
      <c r="D81" s="197"/>
      <c r="E81" s="195"/>
      <c r="F81" s="178"/>
      <c r="G81" s="178"/>
      <c r="H81" s="206"/>
      <c r="I81" s="178"/>
      <c r="J81" s="178"/>
      <c r="K81" s="178">
        <v>50500</v>
      </c>
      <c r="L81" s="178"/>
      <c r="M81" s="178"/>
      <c r="N81" s="178"/>
      <c r="O81" s="178"/>
      <c r="P81" s="178">
        <f>334048-40548</f>
        <v>293500</v>
      </c>
      <c r="Q81" s="178">
        <f>K81+P81</f>
        <v>344000</v>
      </c>
      <c r="R81" s="204">
        <v>10380</v>
      </c>
      <c r="S81" s="204">
        <v>10000</v>
      </c>
      <c r="T81" s="178">
        <f>J81+R81</f>
        <v>10380</v>
      </c>
      <c r="U81" s="178">
        <v>24320</v>
      </c>
      <c r="V81" s="178"/>
      <c r="W81" s="178"/>
      <c r="X81" s="178"/>
      <c r="Y81" s="214">
        <v>24320</v>
      </c>
      <c r="Z81" s="214">
        <v>0</v>
      </c>
      <c r="AA81" s="214">
        <v>24320</v>
      </c>
      <c r="AB81" s="214">
        <v>24320</v>
      </c>
      <c r="AC81" s="178">
        <f t="shared" si="40"/>
        <v>34700</v>
      </c>
      <c r="AD81" s="178">
        <f t="shared" si="39"/>
        <v>34700</v>
      </c>
      <c r="AE81" s="178">
        <f>Q81-R81-Y81</f>
        <v>309300</v>
      </c>
      <c r="AF81" s="214">
        <f>54910+39300</f>
        <v>94210</v>
      </c>
      <c r="AG81" s="178"/>
      <c r="AH81" s="171"/>
      <c r="AI81" s="195"/>
    </row>
    <row r="82" spans="1:35" s="198" customFormat="1" ht="30" customHeight="1">
      <c r="A82" s="195" t="s">
        <v>160</v>
      </c>
      <c r="B82" s="196" t="s">
        <v>171</v>
      </c>
      <c r="C82" s="197"/>
      <c r="D82" s="197"/>
      <c r="E82" s="195"/>
      <c r="F82" s="178">
        <f aca="true" t="shared" si="42" ref="F82:K82">SUM(F83:F87)</f>
        <v>0</v>
      </c>
      <c r="G82" s="178">
        <f t="shared" si="42"/>
        <v>0</v>
      </c>
      <c r="H82" s="178">
        <f t="shared" si="42"/>
        <v>0</v>
      </c>
      <c r="I82" s="178">
        <f t="shared" si="42"/>
        <v>0</v>
      </c>
      <c r="J82" s="178">
        <f t="shared" si="42"/>
        <v>0</v>
      </c>
      <c r="K82" s="178">
        <f t="shared" si="42"/>
        <v>99000</v>
      </c>
      <c r="L82" s="178"/>
      <c r="M82" s="178"/>
      <c r="N82" s="178"/>
      <c r="O82" s="178"/>
      <c r="P82" s="178"/>
      <c r="Q82" s="178">
        <f>SUM(Q83:Q87)</f>
        <v>301606</v>
      </c>
      <c r="R82" s="204">
        <f>SUM(R83:R87)</f>
        <v>19170</v>
      </c>
      <c r="S82" s="204">
        <f>SUM(S83:S87)</f>
        <v>15230</v>
      </c>
      <c r="T82" s="178">
        <f>SUM(T83:T87)</f>
        <v>19170</v>
      </c>
      <c r="U82" s="178">
        <f>SUM(U83:U87)</f>
        <v>25680</v>
      </c>
      <c r="V82" s="178"/>
      <c r="W82" s="178"/>
      <c r="X82" s="178"/>
      <c r="Y82" s="214">
        <f>SUM(Y83:Y87)</f>
        <v>25680</v>
      </c>
      <c r="Z82" s="214">
        <f>SUM(Z83:Z87)</f>
        <v>12204.5236</v>
      </c>
      <c r="AA82" s="214">
        <f>SUM(AA83:AA87)</f>
        <v>6376.249</v>
      </c>
      <c r="AB82" s="214">
        <f>SUM(AB83:AB87)</f>
        <v>6376.222</v>
      </c>
      <c r="AC82" s="178">
        <f t="shared" si="40"/>
        <v>44850</v>
      </c>
      <c r="AD82" s="178">
        <f t="shared" si="39"/>
        <v>44850</v>
      </c>
      <c r="AE82" s="175">
        <f aca="true" t="shared" si="43" ref="AE82:AE87">Q82-R82-Y82</f>
        <v>256756</v>
      </c>
      <c r="AF82" s="214">
        <v>144990</v>
      </c>
      <c r="AG82" s="178"/>
      <c r="AH82" s="195"/>
      <c r="AI82" s="195"/>
    </row>
    <row r="83" spans="1:35" ht="30" customHeight="1">
      <c r="A83" s="171">
        <v>1</v>
      </c>
      <c r="B83" s="189" t="s">
        <v>154</v>
      </c>
      <c r="C83" s="174"/>
      <c r="D83" s="174"/>
      <c r="E83" s="171"/>
      <c r="F83" s="175"/>
      <c r="G83" s="175"/>
      <c r="H83" s="176"/>
      <c r="I83" s="175"/>
      <c r="J83" s="175"/>
      <c r="K83" s="175">
        <v>25200</v>
      </c>
      <c r="L83" s="175"/>
      <c r="M83" s="175"/>
      <c r="N83" s="175"/>
      <c r="O83" s="175"/>
      <c r="P83" s="175">
        <v>106802</v>
      </c>
      <c r="Q83" s="175">
        <f>K83+P83</f>
        <v>132002</v>
      </c>
      <c r="R83" s="170">
        <v>7200</v>
      </c>
      <c r="S83" s="170">
        <v>5086</v>
      </c>
      <c r="T83" s="175">
        <f>J83+R83</f>
        <v>7200</v>
      </c>
      <c r="U83" s="215">
        <v>12650</v>
      </c>
      <c r="V83" s="175"/>
      <c r="W83" s="175"/>
      <c r="X83" s="175"/>
      <c r="Y83" s="215">
        <v>12650</v>
      </c>
      <c r="Z83" s="215">
        <v>5636.532</v>
      </c>
      <c r="AA83" s="175">
        <f>11030-Z83</f>
        <v>5393.468</v>
      </c>
      <c r="AB83" s="215">
        <f>AA83</f>
        <v>5393.468</v>
      </c>
      <c r="AC83" s="175">
        <f t="shared" si="40"/>
        <v>19850</v>
      </c>
      <c r="AD83" s="175">
        <f t="shared" si="39"/>
        <v>19850</v>
      </c>
      <c r="AE83" s="175">
        <f t="shared" si="43"/>
        <v>112152</v>
      </c>
      <c r="AF83" s="215">
        <v>23900</v>
      </c>
      <c r="AG83" s="175"/>
      <c r="AH83" s="171" t="s">
        <v>94</v>
      </c>
      <c r="AI83" s="171"/>
    </row>
    <row r="84" spans="1:35" ht="30.75">
      <c r="A84" s="171">
        <v>2</v>
      </c>
      <c r="B84" s="189" t="s">
        <v>155</v>
      </c>
      <c r="C84" s="174"/>
      <c r="D84" s="174"/>
      <c r="E84" s="171"/>
      <c r="F84" s="175"/>
      <c r="G84" s="175"/>
      <c r="H84" s="176"/>
      <c r="I84" s="175"/>
      <c r="J84" s="175"/>
      <c r="K84" s="175">
        <v>7200</v>
      </c>
      <c r="L84" s="175"/>
      <c r="M84" s="175"/>
      <c r="N84" s="175"/>
      <c r="O84" s="175"/>
      <c r="P84" s="175">
        <v>-4937</v>
      </c>
      <c r="Q84" s="175">
        <f>K84+P84</f>
        <v>2263</v>
      </c>
      <c r="R84" s="170">
        <v>540</v>
      </c>
      <c r="S84" s="170">
        <v>492</v>
      </c>
      <c r="T84" s="175">
        <f>J84+R84</f>
        <v>540</v>
      </c>
      <c r="U84" s="215">
        <v>400</v>
      </c>
      <c r="V84" s="175"/>
      <c r="W84" s="175"/>
      <c r="X84" s="175"/>
      <c r="Y84" s="215">
        <v>400</v>
      </c>
      <c r="Z84" s="362">
        <v>69.396</v>
      </c>
      <c r="AA84" s="363">
        <v>149.116</v>
      </c>
      <c r="AB84" s="362">
        <v>149.116</v>
      </c>
      <c r="AC84" s="175">
        <f t="shared" si="40"/>
        <v>940</v>
      </c>
      <c r="AD84" s="175">
        <f t="shared" si="39"/>
        <v>940</v>
      </c>
      <c r="AE84" s="175">
        <f t="shared" si="43"/>
        <v>1323</v>
      </c>
      <c r="AF84" s="215">
        <v>400</v>
      </c>
      <c r="AG84" s="175"/>
      <c r="AH84" s="171" t="s">
        <v>87</v>
      </c>
      <c r="AI84" s="171"/>
    </row>
    <row r="85" spans="1:35" ht="30.75">
      <c r="A85" s="171">
        <v>3</v>
      </c>
      <c r="B85" s="189" t="s">
        <v>150</v>
      </c>
      <c r="C85" s="174"/>
      <c r="D85" s="174"/>
      <c r="E85" s="171"/>
      <c r="F85" s="175"/>
      <c r="G85" s="175"/>
      <c r="H85" s="176"/>
      <c r="I85" s="175"/>
      <c r="J85" s="175"/>
      <c r="K85" s="175">
        <v>12600</v>
      </c>
      <c r="L85" s="175"/>
      <c r="M85" s="175"/>
      <c r="N85" s="175"/>
      <c r="O85" s="175"/>
      <c r="P85" s="175">
        <v>4779</v>
      </c>
      <c r="Q85" s="175">
        <f>K85+P85</f>
        <v>17379</v>
      </c>
      <c r="R85" s="170">
        <v>1530</v>
      </c>
      <c r="S85" s="170">
        <v>1530</v>
      </c>
      <c r="T85" s="175">
        <f>J85+R85</f>
        <v>1530</v>
      </c>
      <c r="U85" s="215">
        <v>1730</v>
      </c>
      <c r="V85" s="175"/>
      <c r="W85" s="175"/>
      <c r="X85" s="175"/>
      <c r="Y85" s="215">
        <v>1730</v>
      </c>
      <c r="Z85" s="215">
        <v>1706.32</v>
      </c>
      <c r="AA85" s="213">
        <f>Y85-Z85</f>
        <v>23.680000000000064</v>
      </c>
      <c r="AB85" s="362">
        <f>AA85</f>
        <v>23.680000000000064</v>
      </c>
      <c r="AC85" s="175">
        <f t="shared" si="40"/>
        <v>3260</v>
      </c>
      <c r="AD85" s="175">
        <f t="shared" si="39"/>
        <v>3260</v>
      </c>
      <c r="AE85" s="175">
        <f t="shared" si="43"/>
        <v>14119</v>
      </c>
      <c r="AF85" s="215">
        <v>2600</v>
      </c>
      <c r="AG85" s="175"/>
      <c r="AH85" s="171" t="s">
        <v>92</v>
      </c>
      <c r="AI85" s="171"/>
    </row>
    <row r="86" spans="1:35" ht="45" customHeight="1">
      <c r="A86" s="171">
        <v>4</v>
      </c>
      <c r="B86" s="189" t="s">
        <v>151</v>
      </c>
      <c r="C86" s="174"/>
      <c r="D86" s="174"/>
      <c r="E86" s="171"/>
      <c r="F86" s="175"/>
      <c r="G86" s="175"/>
      <c r="H86" s="176"/>
      <c r="I86" s="175"/>
      <c r="J86" s="175"/>
      <c r="K86" s="175">
        <v>45000</v>
      </c>
      <c r="L86" s="175"/>
      <c r="M86" s="175"/>
      <c r="N86" s="175"/>
      <c r="O86" s="175"/>
      <c r="P86" s="175">
        <v>40043</v>
      </c>
      <c r="Q86" s="175">
        <f>K86+P86</f>
        <v>85043</v>
      </c>
      <c r="R86" s="170">
        <v>9000</v>
      </c>
      <c r="S86" s="170">
        <v>7222</v>
      </c>
      <c r="T86" s="175">
        <f>J86+R86</f>
        <v>9000</v>
      </c>
      <c r="U86" s="215">
        <v>9400</v>
      </c>
      <c r="V86" s="175"/>
      <c r="W86" s="175"/>
      <c r="X86" s="175"/>
      <c r="Y86" s="215">
        <v>9400</v>
      </c>
      <c r="Z86" s="215">
        <v>4025.6756</v>
      </c>
      <c r="AA86" s="363">
        <v>776.585</v>
      </c>
      <c r="AB86" s="362">
        <v>776.558</v>
      </c>
      <c r="AC86" s="175">
        <f t="shared" si="40"/>
        <v>18400</v>
      </c>
      <c r="AD86" s="175">
        <f t="shared" si="39"/>
        <v>18400</v>
      </c>
      <c r="AE86" s="175">
        <f t="shared" si="43"/>
        <v>66643</v>
      </c>
      <c r="AF86" s="215">
        <v>18700</v>
      </c>
      <c r="AG86" s="175"/>
      <c r="AH86" s="171" t="s">
        <v>83</v>
      </c>
      <c r="AI86" s="171"/>
    </row>
    <row r="87" spans="1:35" ht="30.75">
      <c r="A87" s="171">
        <v>5</v>
      </c>
      <c r="B87" s="189" t="s">
        <v>156</v>
      </c>
      <c r="C87" s="174"/>
      <c r="D87" s="174"/>
      <c r="E87" s="171"/>
      <c r="F87" s="175"/>
      <c r="G87" s="175"/>
      <c r="H87" s="176"/>
      <c r="I87" s="175"/>
      <c r="J87" s="175"/>
      <c r="K87" s="175">
        <v>9000</v>
      </c>
      <c r="L87" s="175"/>
      <c r="M87" s="175"/>
      <c r="N87" s="175"/>
      <c r="O87" s="175"/>
      <c r="P87" s="175">
        <v>55919</v>
      </c>
      <c r="Q87" s="175">
        <f>K87+P87</f>
        <v>64919</v>
      </c>
      <c r="R87" s="170">
        <v>900</v>
      </c>
      <c r="S87" s="170">
        <v>900</v>
      </c>
      <c r="T87" s="175">
        <f>J87+R87</f>
        <v>900</v>
      </c>
      <c r="U87" s="215">
        <v>1500</v>
      </c>
      <c r="V87" s="175"/>
      <c r="W87" s="175"/>
      <c r="X87" s="175"/>
      <c r="Y87" s="215">
        <v>1500</v>
      </c>
      <c r="Z87" s="362">
        <v>766.6</v>
      </c>
      <c r="AA87" s="362">
        <f>800-Z87</f>
        <v>33.39999999999998</v>
      </c>
      <c r="AB87" s="362">
        <f>AA87</f>
        <v>33.39999999999998</v>
      </c>
      <c r="AC87" s="175">
        <f t="shared" si="40"/>
        <v>2400</v>
      </c>
      <c r="AD87" s="175">
        <f t="shared" si="39"/>
        <v>2400</v>
      </c>
      <c r="AE87" s="175">
        <f t="shared" si="43"/>
        <v>62519</v>
      </c>
      <c r="AF87" s="215">
        <v>3000</v>
      </c>
      <c r="AG87" s="175"/>
      <c r="AH87" s="171" t="s">
        <v>84</v>
      </c>
      <c r="AI87" s="171"/>
    </row>
  </sheetData>
  <sheetProtection/>
  <mergeCells count="43">
    <mergeCell ref="AE5:AE8"/>
    <mergeCell ref="P7:P8"/>
    <mergeCell ref="O7:O8"/>
    <mergeCell ref="AI5:AI8"/>
    <mergeCell ref="AF5:AF8"/>
    <mergeCell ref="AG5:AG8"/>
    <mergeCell ref="D7:D8"/>
    <mergeCell ref="C5:D6"/>
    <mergeCell ref="I7:I8"/>
    <mergeCell ref="H7:H8"/>
    <mergeCell ref="V7:V8"/>
    <mergeCell ref="AC5:AD6"/>
    <mergeCell ref="C7:C8"/>
    <mergeCell ref="AA5:AA8"/>
    <mergeCell ref="Y5:Y8"/>
    <mergeCell ref="F7:G7"/>
    <mergeCell ref="B5:B8"/>
    <mergeCell ref="U7:U8"/>
    <mergeCell ref="E5:G6"/>
    <mergeCell ref="L7:L8"/>
    <mergeCell ref="M7:M8"/>
    <mergeCell ref="N7:N8"/>
    <mergeCell ref="K7:K8"/>
    <mergeCell ref="T5:T8"/>
    <mergeCell ref="E7:E8"/>
    <mergeCell ref="S7:S8"/>
    <mergeCell ref="A1:AI1"/>
    <mergeCell ref="R4:AI4"/>
    <mergeCell ref="A5:A8"/>
    <mergeCell ref="AH5:AH8"/>
    <mergeCell ref="X7:X8"/>
    <mergeCell ref="AC7:AC8"/>
    <mergeCell ref="AD7:AD8"/>
    <mergeCell ref="Z5:Z8"/>
    <mergeCell ref="A2:AI2"/>
    <mergeCell ref="K5:P6"/>
    <mergeCell ref="J5:J8"/>
    <mergeCell ref="Q5:Q8"/>
    <mergeCell ref="H5:I6"/>
    <mergeCell ref="R5:R6"/>
    <mergeCell ref="AB5:AB8"/>
    <mergeCell ref="W7:W8"/>
    <mergeCell ref="R7:R8"/>
  </mergeCells>
  <printOptions horizontalCentered="1"/>
  <pageMargins left="0.4330708661417323" right="0.2362204724409449" top="0.4330708661417323" bottom="0.47" header="0.31496062992125984" footer="0.31496062992125984"/>
  <pageSetup fitToHeight="0" fitToWidth="1" horizontalDpi="600" verticalDpi="600" orientation="portrait" paperSize="9" scale="73" r:id="rId1"/>
  <headerFooter>
    <oddFooter>&amp;C&amp;P</oddFooter>
  </headerFooter>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I51"/>
  <sheetViews>
    <sheetView zoomScale="70" zoomScaleNormal="70" zoomScaleSheetLayoutView="70" zoomScalePageLayoutView="55" workbookViewId="0" topLeftCell="A1">
      <pane xSplit="5" ySplit="8" topLeftCell="I9" activePane="bottomRight" state="frozen"/>
      <selection pane="topLeft" activeCell="A1" sqref="A1"/>
      <selection pane="topRight" activeCell="F1" sqref="F1"/>
      <selection pane="bottomLeft" activeCell="A10" sqref="A10"/>
      <selection pane="bottomRight" activeCell="V26" sqref="V26:V28"/>
    </sheetView>
  </sheetViews>
  <sheetFormatPr defaultColWidth="9.140625" defaultRowHeight="15"/>
  <cols>
    <col min="1" max="1" width="5.140625" style="12" customWidth="1"/>
    <col min="2" max="2" width="37.8515625" style="200" customWidth="1"/>
    <col min="3" max="4" width="9.00390625" style="12" customWidth="1"/>
    <col min="5" max="5" width="22.7109375" style="12" hidden="1" customWidth="1"/>
    <col min="6" max="8" width="12.7109375" style="202" hidden="1" customWidth="1"/>
    <col min="9" max="9" width="13.421875" style="202" hidden="1" customWidth="1"/>
    <col min="10" max="12" width="12.7109375" style="202" hidden="1" customWidth="1"/>
    <col min="13" max="15" width="11.421875" style="202" hidden="1" customWidth="1"/>
    <col min="16" max="17" width="12.7109375" style="202" hidden="1" customWidth="1"/>
    <col min="18" max="18" width="12.421875" style="202" customWidth="1"/>
    <col min="19" max="19" width="11.421875" style="202" customWidth="1"/>
    <col min="20" max="23" width="18.57421875" style="202" customWidth="1"/>
    <col min="24" max="25" width="13.140625" style="202" hidden="1" customWidth="1"/>
    <col min="26" max="26" width="18.57421875" style="202" hidden="1" customWidth="1"/>
    <col min="27" max="30" width="11.421875" style="202" hidden="1" customWidth="1"/>
    <col min="31" max="31" width="16.7109375" style="202" hidden="1" customWidth="1"/>
    <col min="32" max="32" width="11.57421875" style="203" hidden="1" customWidth="1"/>
    <col min="33" max="33" width="16.28125" style="12" customWidth="1"/>
    <col min="34" max="34" width="46.421875" style="12" customWidth="1"/>
    <col min="35" max="35" width="10.140625" style="11" bestFit="1" customWidth="1"/>
    <col min="36" max="16384" width="8.8515625" style="11" customWidth="1"/>
  </cols>
  <sheetData>
    <row r="1" spans="1:34" ht="15.75">
      <c r="A1" s="390" t="s">
        <v>173</v>
      </c>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row>
    <row r="2" spans="1:34" ht="37.5" customHeight="1">
      <c r="A2" s="378" t="s">
        <v>423</v>
      </c>
      <c r="B2" s="378"/>
      <c r="C2" s="378"/>
      <c r="D2" s="378"/>
      <c r="E2" s="378"/>
      <c r="F2" s="378"/>
      <c r="G2" s="378"/>
      <c r="H2" s="378"/>
      <c r="I2" s="378"/>
      <c r="J2" s="378"/>
      <c r="K2" s="378"/>
      <c r="L2" s="378"/>
      <c r="M2" s="378"/>
      <c r="N2" s="378"/>
      <c r="O2" s="378"/>
      <c r="P2" s="378"/>
      <c r="Q2" s="378"/>
      <c r="R2" s="378"/>
      <c r="S2" s="378"/>
      <c r="T2" s="378"/>
      <c r="U2" s="378"/>
      <c r="V2" s="378"/>
      <c r="W2" s="378"/>
      <c r="X2" s="378"/>
      <c r="Y2" s="378"/>
      <c r="Z2" s="378"/>
      <c r="AA2" s="378"/>
      <c r="AB2" s="378"/>
      <c r="AC2" s="378"/>
      <c r="AD2" s="378"/>
      <c r="AE2" s="378"/>
      <c r="AF2" s="378"/>
      <c r="AG2" s="378"/>
      <c r="AH2" s="378"/>
    </row>
    <row r="3" spans="12:34" ht="30" customHeight="1">
      <c r="L3" s="379" t="s">
        <v>50</v>
      </c>
      <c r="M3" s="379"/>
      <c r="N3" s="379"/>
      <c r="O3" s="379"/>
      <c r="P3" s="379"/>
      <c r="Q3" s="379"/>
      <c r="R3" s="379"/>
      <c r="S3" s="379"/>
      <c r="T3" s="379"/>
      <c r="U3" s="379"/>
      <c r="V3" s="379"/>
      <c r="W3" s="379"/>
      <c r="X3" s="379"/>
      <c r="Y3" s="379"/>
      <c r="Z3" s="379"/>
      <c r="AA3" s="379"/>
      <c r="AB3" s="379"/>
      <c r="AC3" s="379"/>
      <c r="AD3" s="379"/>
      <c r="AE3" s="379"/>
      <c r="AF3" s="379"/>
      <c r="AG3" s="379"/>
      <c r="AH3" s="379"/>
    </row>
    <row r="4" spans="1:34" ht="33" customHeight="1">
      <c r="A4" s="392" t="s">
        <v>10</v>
      </c>
      <c r="B4" s="392" t="s">
        <v>6</v>
      </c>
      <c r="C4" s="392" t="s">
        <v>107</v>
      </c>
      <c r="D4" s="392"/>
      <c r="E4" s="392" t="s">
        <v>105</v>
      </c>
      <c r="F4" s="392"/>
      <c r="G4" s="392"/>
      <c r="H4" s="391" t="s">
        <v>51</v>
      </c>
      <c r="I4" s="391" t="s">
        <v>383</v>
      </c>
      <c r="J4" s="391" t="s">
        <v>116</v>
      </c>
      <c r="K4" s="391"/>
      <c r="L4" s="391" t="s">
        <v>168</v>
      </c>
      <c r="M4" s="391"/>
      <c r="N4" s="391"/>
      <c r="O4" s="391" t="s">
        <v>190</v>
      </c>
      <c r="P4" s="391" t="s">
        <v>52</v>
      </c>
      <c r="Q4" s="391"/>
      <c r="R4" s="391" t="s">
        <v>193</v>
      </c>
      <c r="S4" s="391"/>
      <c r="T4" s="391"/>
      <c r="U4" s="375" t="s">
        <v>431</v>
      </c>
      <c r="V4" s="375" t="s">
        <v>432</v>
      </c>
      <c r="W4" s="375" t="s">
        <v>433</v>
      </c>
      <c r="X4" s="391" t="s">
        <v>382</v>
      </c>
      <c r="Y4" s="391"/>
      <c r="Z4" s="387" t="s">
        <v>428</v>
      </c>
      <c r="AA4" s="391" t="s">
        <v>214</v>
      </c>
      <c r="AB4" s="249"/>
      <c r="AC4" s="391" t="s">
        <v>215</v>
      </c>
      <c r="AD4" s="240"/>
      <c r="AE4" s="183"/>
      <c r="AF4" s="391" t="s">
        <v>111</v>
      </c>
      <c r="AG4" s="392" t="s">
        <v>53</v>
      </c>
      <c r="AH4" s="392" t="s">
        <v>12</v>
      </c>
    </row>
    <row r="5" spans="1:34" ht="15.75">
      <c r="A5" s="392"/>
      <c r="B5" s="392"/>
      <c r="C5" s="392"/>
      <c r="D5" s="392"/>
      <c r="E5" s="392"/>
      <c r="F5" s="392"/>
      <c r="G5" s="392"/>
      <c r="H5" s="391"/>
      <c r="I5" s="391"/>
      <c r="J5" s="391"/>
      <c r="K5" s="391"/>
      <c r="L5" s="391"/>
      <c r="M5" s="391"/>
      <c r="N5" s="391"/>
      <c r="O5" s="391"/>
      <c r="P5" s="391"/>
      <c r="Q5" s="391"/>
      <c r="R5" s="391"/>
      <c r="S5" s="391"/>
      <c r="T5" s="391"/>
      <c r="U5" s="376"/>
      <c r="V5" s="376"/>
      <c r="W5" s="376"/>
      <c r="X5" s="391"/>
      <c r="Y5" s="391"/>
      <c r="Z5" s="388"/>
      <c r="AA5" s="391"/>
      <c r="AB5" s="249"/>
      <c r="AC5" s="391"/>
      <c r="AD5" s="241"/>
      <c r="AE5" s="242"/>
      <c r="AF5" s="391"/>
      <c r="AG5" s="392"/>
      <c r="AH5" s="392"/>
    </row>
    <row r="6" spans="1:34" ht="30.75" customHeight="1">
      <c r="A6" s="392"/>
      <c r="B6" s="392"/>
      <c r="C6" s="392" t="s">
        <v>108</v>
      </c>
      <c r="D6" s="392" t="s">
        <v>109</v>
      </c>
      <c r="E6" s="392" t="s">
        <v>54</v>
      </c>
      <c r="F6" s="391" t="s">
        <v>14</v>
      </c>
      <c r="G6" s="391"/>
      <c r="H6" s="391"/>
      <c r="I6" s="391"/>
      <c r="J6" s="391"/>
      <c r="K6" s="391"/>
      <c r="L6" s="391"/>
      <c r="M6" s="391"/>
      <c r="N6" s="391"/>
      <c r="O6" s="391"/>
      <c r="P6" s="391"/>
      <c r="Q6" s="391"/>
      <c r="R6" s="391"/>
      <c r="S6" s="391"/>
      <c r="T6" s="391"/>
      <c r="U6" s="376"/>
      <c r="V6" s="376"/>
      <c r="W6" s="376"/>
      <c r="X6" s="391" t="s">
        <v>15</v>
      </c>
      <c r="Y6" s="391" t="s">
        <v>427</v>
      </c>
      <c r="Z6" s="388"/>
      <c r="AA6" s="391"/>
      <c r="AB6" s="249"/>
      <c r="AC6" s="391"/>
      <c r="AD6" s="243"/>
      <c r="AE6" s="184"/>
      <c r="AF6" s="391"/>
      <c r="AG6" s="392"/>
      <c r="AH6" s="392"/>
    </row>
    <row r="7" spans="1:34" ht="15" customHeight="1">
      <c r="A7" s="392"/>
      <c r="B7" s="392"/>
      <c r="C7" s="392"/>
      <c r="D7" s="392"/>
      <c r="E7" s="392"/>
      <c r="F7" s="391" t="s">
        <v>1</v>
      </c>
      <c r="G7" s="391" t="s">
        <v>102</v>
      </c>
      <c r="H7" s="391"/>
      <c r="I7" s="391"/>
      <c r="J7" s="391" t="s">
        <v>55</v>
      </c>
      <c r="K7" s="391"/>
      <c r="L7" s="391" t="s">
        <v>15</v>
      </c>
      <c r="M7" s="391" t="s">
        <v>55</v>
      </c>
      <c r="N7" s="391"/>
      <c r="O7" s="391"/>
      <c r="P7" s="391" t="s">
        <v>15</v>
      </c>
      <c r="Q7" s="391" t="s">
        <v>57</v>
      </c>
      <c r="R7" s="391" t="s">
        <v>15</v>
      </c>
      <c r="S7" s="391" t="s">
        <v>104</v>
      </c>
      <c r="T7" s="391" t="s">
        <v>217</v>
      </c>
      <c r="U7" s="376"/>
      <c r="V7" s="376"/>
      <c r="W7" s="376"/>
      <c r="X7" s="391"/>
      <c r="Y7" s="391"/>
      <c r="Z7" s="388"/>
      <c r="AA7" s="391"/>
      <c r="AB7" s="391" t="s">
        <v>104</v>
      </c>
      <c r="AC7" s="391"/>
      <c r="AD7" s="393" t="s">
        <v>104</v>
      </c>
      <c r="AE7" s="391" t="s">
        <v>216</v>
      </c>
      <c r="AF7" s="391"/>
      <c r="AG7" s="392"/>
      <c r="AH7" s="392"/>
    </row>
    <row r="8" spans="1:34" ht="67.5" customHeight="1">
      <c r="A8" s="392"/>
      <c r="B8" s="392"/>
      <c r="C8" s="392"/>
      <c r="D8" s="392"/>
      <c r="E8" s="392"/>
      <c r="F8" s="391"/>
      <c r="G8" s="391"/>
      <c r="H8" s="391"/>
      <c r="I8" s="391"/>
      <c r="J8" s="176" t="s">
        <v>104</v>
      </c>
      <c r="K8" s="176" t="s">
        <v>56</v>
      </c>
      <c r="L8" s="391"/>
      <c r="M8" s="176" t="s">
        <v>104</v>
      </c>
      <c r="N8" s="176" t="s">
        <v>56</v>
      </c>
      <c r="O8" s="391"/>
      <c r="P8" s="391"/>
      <c r="Q8" s="391"/>
      <c r="R8" s="391"/>
      <c r="S8" s="391"/>
      <c r="T8" s="391"/>
      <c r="U8" s="377"/>
      <c r="V8" s="377"/>
      <c r="W8" s="377"/>
      <c r="X8" s="391"/>
      <c r="Y8" s="391"/>
      <c r="Z8" s="389"/>
      <c r="AA8" s="391"/>
      <c r="AB8" s="391"/>
      <c r="AC8" s="391"/>
      <c r="AD8" s="393"/>
      <c r="AE8" s="391"/>
      <c r="AF8" s="391"/>
      <c r="AG8" s="392"/>
      <c r="AH8" s="392"/>
    </row>
    <row r="9" spans="1:34" ht="15.75">
      <c r="A9" s="131">
        <v>1</v>
      </c>
      <c r="B9" s="131">
        <v>2</v>
      </c>
      <c r="C9" s="131">
        <v>3</v>
      </c>
      <c r="D9" s="131">
        <v>4</v>
      </c>
      <c r="E9" s="131">
        <v>5</v>
      </c>
      <c r="F9" s="131">
        <v>6</v>
      </c>
      <c r="G9" s="131">
        <v>7</v>
      </c>
      <c r="H9" s="131">
        <v>8</v>
      </c>
      <c r="I9" s="131">
        <v>8</v>
      </c>
      <c r="J9" s="131">
        <v>10</v>
      </c>
      <c r="K9" s="131">
        <v>11</v>
      </c>
      <c r="L9" s="131">
        <v>12</v>
      </c>
      <c r="M9" s="131">
        <v>13</v>
      </c>
      <c r="N9" s="131">
        <v>14</v>
      </c>
      <c r="O9" s="131">
        <v>15</v>
      </c>
      <c r="P9" s="131">
        <v>16</v>
      </c>
      <c r="Q9" s="131">
        <v>17</v>
      </c>
      <c r="R9" s="131">
        <v>5</v>
      </c>
      <c r="S9" s="131">
        <v>6</v>
      </c>
      <c r="T9" s="131">
        <v>7</v>
      </c>
      <c r="U9" s="131">
        <v>8</v>
      </c>
      <c r="V9" s="131">
        <v>9</v>
      </c>
      <c r="W9" s="131">
        <v>10</v>
      </c>
      <c r="X9" s="131">
        <v>9</v>
      </c>
      <c r="Y9" s="131">
        <v>10</v>
      </c>
      <c r="Z9" s="131">
        <v>11</v>
      </c>
      <c r="AA9" s="131">
        <v>12</v>
      </c>
      <c r="AB9" s="131">
        <v>11</v>
      </c>
      <c r="AC9" s="131">
        <v>13</v>
      </c>
      <c r="AD9" s="131">
        <v>13</v>
      </c>
      <c r="AE9" s="131">
        <v>14</v>
      </c>
      <c r="AF9" s="131">
        <v>15</v>
      </c>
      <c r="AG9" s="131">
        <v>11</v>
      </c>
      <c r="AH9" s="131">
        <v>12</v>
      </c>
    </row>
    <row r="10" spans="1:35" ht="15.75">
      <c r="A10" s="131"/>
      <c r="B10" s="181" t="s">
        <v>219</v>
      </c>
      <c r="C10" s="131"/>
      <c r="D10" s="131"/>
      <c r="E10" s="131"/>
      <c r="F10" s="218" t="e">
        <f>F11+#REF!+F48</f>
        <v>#REF!</v>
      </c>
      <c r="G10" s="218" t="e">
        <f>G11+#REF!+G48</f>
        <v>#REF!</v>
      </c>
      <c r="H10" s="218" t="e">
        <f>H11+#REF!+H48</f>
        <v>#REF!</v>
      </c>
      <c r="I10" s="218" t="e">
        <f>I11+#REF!+I48</f>
        <v>#REF!</v>
      </c>
      <c r="J10" s="218" t="e">
        <f>J11+#REF!+J48</f>
        <v>#REF!</v>
      </c>
      <c r="K10" s="218" t="e">
        <f>K11+#REF!+K48</f>
        <v>#REF!</v>
      </c>
      <c r="L10" s="218" t="e">
        <f>L11+#REF!+L48</f>
        <v>#REF!</v>
      </c>
      <c r="M10" s="218" t="e">
        <f>M11+#REF!+M48</f>
        <v>#REF!</v>
      </c>
      <c r="N10" s="218" t="e">
        <f>N11+#REF!+N48</f>
        <v>#REF!</v>
      </c>
      <c r="O10" s="218" t="e">
        <f>O11+#REF!+O48</f>
        <v>#REF!</v>
      </c>
      <c r="P10" s="218" t="e">
        <f>P11+#REF!+P48</f>
        <v>#REF!</v>
      </c>
      <c r="Q10" s="218" t="e">
        <f>Q11+#REF!+Q48</f>
        <v>#REF!</v>
      </c>
      <c r="R10" s="218">
        <f aca="true" t="shared" si="0" ref="R10:W10">R11+R48</f>
        <v>2419946.7</v>
      </c>
      <c r="S10" s="218">
        <f t="shared" si="0"/>
        <v>930930</v>
      </c>
      <c r="T10" s="218">
        <f t="shared" si="0"/>
        <v>110000</v>
      </c>
      <c r="U10" s="218">
        <f t="shared" si="0"/>
        <v>1522577.76219</v>
      </c>
      <c r="V10" s="218">
        <f t="shared" si="0"/>
        <v>652646.23781</v>
      </c>
      <c r="W10" s="218">
        <f t="shared" si="0"/>
        <v>638455.0698099999</v>
      </c>
      <c r="X10" s="218" t="e">
        <f>X11+#REF!+X48</f>
        <v>#REF!</v>
      </c>
      <c r="Y10" s="218" t="e">
        <f>Y11+#REF!+Y48</f>
        <v>#REF!</v>
      </c>
      <c r="Z10" s="218" t="e">
        <f>Z11+#REF!+Z48</f>
        <v>#REF!</v>
      </c>
      <c r="AA10" s="218" t="e">
        <f>AA11+#REF!+AA48</f>
        <v>#REF!</v>
      </c>
      <c r="AB10" s="218" t="e">
        <f>AB11+#REF!+AB48</f>
        <v>#REF!</v>
      </c>
      <c r="AC10" s="218" t="e">
        <f>AC11+#REF!+AC48</f>
        <v>#REF!</v>
      </c>
      <c r="AD10" s="218" t="e">
        <f>AD11+#REF!+AD48</f>
        <v>#REF!</v>
      </c>
      <c r="AE10" s="218" t="e">
        <f>AE11+#REF!+AE48</f>
        <v>#REF!</v>
      </c>
      <c r="AF10" s="131"/>
      <c r="AG10" s="131"/>
      <c r="AH10" s="131"/>
      <c r="AI10" s="357">
        <f>U10-V10</f>
        <v>869931.52438</v>
      </c>
    </row>
    <row r="11" spans="1:35" s="198" customFormat="1" ht="15.75" customHeight="1">
      <c r="A11" s="219" t="s">
        <v>16</v>
      </c>
      <c r="B11" s="219" t="s">
        <v>218</v>
      </c>
      <c r="C11" s="220"/>
      <c r="D11" s="220"/>
      <c r="E11" s="219"/>
      <c r="F11" s="221" t="e">
        <f>F12+#REF!+F15+F18+#REF!+F21+F24+F29+#REF!+F40+F44+F47</f>
        <v>#REF!</v>
      </c>
      <c r="G11" s="221" t="e">
        <f>G12+#REF!+G15+G18+#REF!+G21+G24+G29+#REF!+G40+G44+G47</f>
        <v>#REF!</v>
      </c>
      <c r="H11" s="221" t="e">
        <f>H12+#REF!+H15+H18+#REF!+H21+H24+H29+#REF!+H40+H44+H47</f>
        <v>#REF!</v>
      </c>
      <c r="I11" s="221" t="e">
        <f>I12+#REF!+I15+I18+#REF!+I21+I24+I29+#REF!+I40+I44+I47</f>
        <v>#REF!</v>
      </c>
      <c r="J11" s="221" t="e">
        <f>J12+#REF!+J15+J18+#REF!+J21+J24+J29+#REF!+J40+J44+J47</f>
        <v>#REF!</v>
      </c>
      <c r="K11" s="221" t="e">
        <f>K12+#REF!+K15+K18+#REF!+K21+K24+K29+#REF!+K40+K44+K47</f>
        <v>#REF!</v>
      </c>
      <c r="L11" s="221" t="e">
        <f>L12+#REF!+L15+L18+#REF!+L21+L24+L29+#REF!+L40+L44+L47</f>
        <v>#REF!</v>
      </c>
      <c r="M11" s="221" t="e">
        <f>M12+#REF!+M15+M18+#REF!+M21+M24+M29+#REF!+M40+M44+M47</f>
        <v>#REF!</v>
      </c>
      <c r="N11" s="221" t="e">
        <f>N12+#REF!+N15+N18+#REF!+N21+N24+N29+#REF!+N40+N44+N47</f>
        <v>#REF!</v>
      </c>
      <c r="O11" s="221" t="e">
        <f>O12+#REF!+O15+O18+#REF!+O21+O24+O29+#REF!+O40+O44+O47</f>
        <v>#REF!</v>
      </c>
      <c r="P11" s="221" t="e">
        <f>P12+#REF!+P15+P18+#REF!+P21+P24+P29+#REF!+P40+P44+P47</f>
        <v>#REF!</v>
      </c>
      <c r="Q11" s="221" t="e">
        <f>Q12+#REF!+Q15+Q18+#REF!+Q21+Q24+Q29+#REF!+Q40+Q44+Q47</f>
        <v>#REF!</v>
      </c>
      <c r="R11" s="221">
        <f>R12+R15+R18+R21+R24+R29+R40+R44+R47</f>
        <v>1798479</v>
      </c>
      <c r="S11" s="221">
        <f aca="true" t="shared" si="1" ref="S11:AF11">S12+S15+S18+S21+S24+S29+S40+S44+S47</f>
        <v>930930</v>
      </c>
      <c r="T11" s="221">
        <f t="shared" si="1"/>
        <v>110000</v>
      </c>
      <c r="U11" s="221">
        <f t="shared" si="1"/>
        <v>1145832.76219</v>
      </c>
      <c r="V11" s="221">
        <f>V12+V15+V18+V21+V24+V29+V40+V44+V47</f>
        <v>652646.23781</v>
      </c>
      <c r="W11" s="221">
        <f t="shared" si="1"/>
        <v>638455.0698099999</v>
      </c>
      <c r="X11" s="221">
        <f t="shared" si="1"/>
        <v>2851326</v>
      </c>
      <c r="Y11" s="221">
        <f t="shared" si="1"/>
        <v>2734407</v>
      </c>
      <c r="Z11" s="221">
        <f t="shared" si="1"/>
        <v>1649584</v>
      </c>
      <c r="AA11" s="221">
        <f t="shared" si="1"/>
        <v>1983447</v>
      </c>
      <c r="AB11" s="221">
        <f t="shared" si="1"/>
        <v>469070</v>
      </c>
      <c r="AC11" s="221">
        <f t="shared" si="1"/>
        <v>1097500</v>
      </c>
      <c r="AD11" s="221">
        <f t="shared" si="1"/>
        <v>400000</v>
      </c>
      <c r="AE11" s="221">
        <f t="shared" si="1"/>
        <v>0</v>
      </c>
      <c r="AF11" s="221">
        <f t="shared" si="1"/>
        <v>6.639825430593778</v>
      </c>
      <c r="AG11" s="219"/>
      <c r="AH11" s="195"/>
      <c r="AI11" s="198">
        <v>1</v>
      </c>
    </row>
    <row r="12" spans="1:35" ht="15.75" customHeight="1">
      <c r="A12" s="181" t="s">
        <v>17</v>
      </c>
      <c r="B12" s="179" t="s">
        <v>58</v>
      </c>
      <c r="C12" s="244"/>
      <c r="D12" s="244"/>
      <c r="E12" s="219"/>
      <c r="F12" s="221">
        <f>F14</f>
        <v>125000</v>
      </c>
      <c r="G12" s="221">
        <f aca="true" t="shared" si="2" ref="G12:W12">G14</f>
        <v>125000</v>
      </c>
      <c r="H12" s="221">
        <f t="shared" si="2"/>
        <v>0</v>
      </c>
      <c r="I12" s="221">
        <f>I14</f>
        <v>125000</v>
      </c>
      <c r="J12" s="221">
        <f>J14</f>
        <v>0</v>
      </c>
      <c r="K12" s="221">
        <f>K14</f>
        <v>0</v>
      </c>
      <c r="L12" s="221">
        <f t="shared" si="2"/>
        <v>76973</v>
      </c>
      <c r="M12" s="221">
        <f t="shared" si="2"/>
        <v>0</v>
      </c>
      <c r="N12" s="221">
        <f t="shared" si="2"/>
        <v>0</v>
      </c>
      <c r="O12" s="221">
        <f>O14</f>
        <v>76973</v>
      </c>
      <c r="P12" s="221">
        <f t="shared" si="2"/>
        <v>76973</v>
      </c>
      <c r="Q12" s="221">
        <f t="shared" si="2"/>
        <v>76973</v>
      </c>
      <c r="R12" s="221">
        <f t="shared" si="2"/>
        <v>8700</v>
      </c>
      <c r="S12" s="221">
        <f t="shared" si="2"/>
        <v>0</v>
      </c>
      <c r="T12" s="221">
        <f t="shared" si="2"/>
        <v>0</v>
      </c>
      <c r="U12" s="221">
        <f t="shared" si="2"/>
        <v>8700</v>
      </c>
      <c r="V12" s="221">
        <f t="shared" si="2"/>
        <v>0</v>
      </c>
      <c r="W12" s="221">
        <f t="shared" si="2"/>
        <v>0</v>
      </c>
      <c r="X12" s="221">
        <f>Q12+R12</f>
        <v>85673</v>
      </c>
      <c r="Y12" s="221">
        <f>L12+R12</f>
        <v>85673</v>
      </c>
      <c r="Z12" s="221">
        <f aca="true" t="shared" si="3" ref="Z12:AE12">Z14</f>
        <v>85378</v>
      </c>
      <c r="AA12" s="221">
        <f t="shared" si="3"/>
        <v>39327</v>
      </c>
      <c r="AB12" s="221">
        <f t="shared" si="3"/>
        <v>0</v>
      </c>
      <c r="AC12" s="221">
        <f t="shared" si="3"/>
        <v>10000</v>
      </c>
      <c r="AD12" s="221">
        <f t="shared" si="3"/>
        <v>0</v>
      </c>
      <c r="AE12" s="221">
        <f t="shared" si="3"/>
        <v>0</v>
      </c>
      <c r="AF12" s="222"/>
      <c r="AG12" s="219"/>
      <c r="AH12" s="190"/>
      <c r="AI12" s="11">
        <v>1</v>
      </c>
    </row>
    <row r="13" spans="1:34" ht="15.75" customHeight="1">
      <c r="A13" s="223"/>
      <c r="B13" s="224" t="s">
        <v>167</v>
      </c>
      <c r="C13" s="225"/>
      <c r="D13" s="225"/>
      <c r="E13" s="224"/>
      <c r="F13" s="188"/>
      <c r="G13" s="188"/>
      <c r="H13" s="188"/>
      <c r="I13" s="188"/>
      <c r="J13" s="188"/>
      <c r="K13" s="175"/>
      <c r="L13" s="188"/>
      <c r="M13" s="188"/>
      <c r="N13" s="188"/>
      <c r="O13" s="188"/>
      <c r="P13" s="175"/>
      <c r="Q13" s="175"/>
      <c r="R13" s="175"/>
      <c r="S13" s="175"/>
      <c r="T13" s="175"/>
      <c r="U13" s="175"/>
      <c r="V13" s="175"/>
      <c r="W13" s="175"/>
      <c r="X13" s="221">
        <f aca="true" t="shared" si="4" ref="X13:X51">Q13+R13</f>
        <v>0</v>
      </c>
      <c r="Y13" s="186">
        <f>L13+R13</f>
        <v>0</v>
      </c>
      <c r="Z13" s="186"/>
      <c r="AA13" s="175"/>
      <c r="AB13" s="175"/>
      <c r="AC13" s="175"/>
      <c r="AD13" s="175"/>
      <c r="AE13" s="175"/>
      <c r="AF13" s="176"/>
      <c r="AG13" s="224"/>
      <c r="AH13" s="190"/>
    </row>
    <row r="14" spans="1:34" ht="47.25" customHeight="1">
      <c r="A14" s="171">
        <v>1</v>
      </c>
      <c r="B14" s="185" t="s">
        <v>60</v>
      </c>
      <c r="C14" s="182">
        <v>2021</v>
      </c>
      <c r="D14" s="182">
        <v>2025</v>
      </c>
      <c r="E14" s="226" t="s">
        <v>110</v>
      </c>
      <c r="F14" s="175">
        <v>125000</v>
      </c>
      <c r="G14" s="175">
        <v>125000</v>
      </c>
      <c r="H14" s="175"/>
      <c r="I14" s="175">
        <v>125000</v>
      </c>
      <c r="J14" s="175"/>
      <c r="K14" s="175"/>
      <c r="L14" s="175">
        <v>76973</v>
      </c>
      <c r="M14" s="175"/>
      <c r="N14" s="175"/>
      <c r="O14" s="175">
        <v>76973</v>
      </c>
      <c r="P14" s="175">
        <f>H14+L14</f>
        <v>76973</v>
      </c>
      <c r="Q14" s="175">
        <f>P14</f>
        <v>76973</v>
      </c>
      <c r="R14" s="175">
        <v>8700</v>
      </c>
      <c r="S14" s="175"/>
      <c r="T14" s="175"/>
      <c r="U14" s="175">
        <v>8700</v>
      </c>
      <c r="V14" s="175"/>
      <c r="W14" s="175"/>
      <c r="X14" s="186">
        <f t="shared" si="4"/>
        <v>85673</v>
      </c>
      <c r="Y14" s="186">
        <f>L14+R14</f>
        <v>85673</v>
      </c>
      <c r="Z14" s="186">
        <f>76973+8405</f>
        <v>85378</v>
      </c>
      <c r="AA14" s="175">
        <f>I14-L14-R14</f>
        <v>39327</v>
      </c>
      <c r="AB14" s="175">
        <f>J14-M14-S14</f>
        <v>0</v>
      </c>
      <c r="AC14" s="175">
        <v>10000</v>
      </c>
      <c r="AD14" s="175"/>
      <c r="AE14" s="175"/>
      <c r="AF14" s="245">
        <f>(AC14+R14+Q14)/G14</f>
        <v>0.765384</v>
      </c>
      <c r="AG14" s="131" t="s">
        <v>61</v>
      </c>
      <c r="AH14" s="190"/>
    </row>
    <row r="15" spans="1:35" ht="31.5" customHeight="1">
      <c r="A15" s="181" t="s">
        <v>18</v>
      </c>
      <c r="B15" s="179" t="s">
        <v>63</v>
      </c>
      <c r="C15" s="244"/>
      <c r="D15" s="244"/>
      <c r="E15" s="219"/>
      <c r="F15" s="221">
        <f>SUM(F16:F17)</f>
        <v>270321</v>
      </c>
      <c r="G15" s="221">
        <f aca="true" t="shared" si="5" ref="G15:AE15">SUM(G16:G17)</f>
        <v>270321</v>
      </c>
      <c r="H15" s="221">
        <f t="shared" si="5"/>
        <v>0</v>
      </c>
      <c r="I15" s="221">
        <f>SUM(I16:I17)</f>
        <v>270321</v>
      </c>
      <c r="J15" s="221">
        <f>SUM(J16:J17)</f>
        <v>0</v>
      </c>
      <c r="K15" s="221">
        <f>SUM(K16:K17)</f>
        <v>0</v>
      </c>
      <c r="L15" s="221">
        <f t="shared" si="5"/>
        <v>5580</v>
      </c>
      <c r="M15" s="221">
        <f t="shared" si="5"/>
        <v>0</v>
      </c>
      <c r="N15" s="221">
        <f t="shared" si="5"/>
        <v>0</v>
      </c>
      <c r="O15" s="221">
        <f t="shared" si="5"/>
        <v>1254.419558</v>
      </c>
      <c r="P15" s="221">
        <f t="shared" si="5"/>
        <v>5580</v>
      </c>
      <c r="Q15" s="221">
        <f t="shared" si="5"/>
        <v>5580</v>
      </c>
      <c r="R15" s="221">
        <f t="shared" si="5"/>
        <v>75000</v>
      </c>
      <c r="S15" s="221">
        <f t="shared" si="5"/>
        <v>0</v>
      </c>
      <c r="T15" s="221">
        <f t="shared" si="5"/>
        <v>0</v>
      </c>
      <c r="U15" s="221">
        <f t="shared" si="5"/>
        <v>75000</v>
      </c>
      <c r="V15" s="221">
        <f t="shared" si="5"/>
        <v>0</v>
      </c>
      <c r="W15" s="221">
        <f t="shared" si="5"/>
        <v>0</v>
      </c>
      <c r="X15" s="221">
        <f t="shared" si="4"/>
        <v>80580</v>
      </c>
      <c r="Y15" s="221">
        <f aca="true" t="shared" si="6" ref="Y15:Y38">L15+R15</f>
        <v>80580</v>
      </c>
      <c r="Z15" s="221">
        <f t="shared" si="5"/>
        <v>66308</v>
      </c>
      <c r="AA15" s="221">
        <f t="shared" si="5"/>
        <v>189741</v>
      </c>
      <c r="AB15" s="221">
        <f t="shared" si="5"/>
        <v>0</v>
      </c>
      <c r="AC15" s="221">
        <f t="shared" si="5"/>
        <v>125000</v>
      </c>
      <c r="AD15" s="221">
        <f t="shared" si="5"/>
        <v>0</v>
      </c>
      <c r="AE15" s="221">
        <f t="shared" si="5"/>
        <v>0</v>
      </c>
      <c r="AF15" s="222"/>
      <c r="AG15" s="246"/>
      <c r="AH15" s="190"/>
      <c r="AI15" s="11">
        <v>1</v>
      </c>
    </row>
    <row r="16" spans="1:34" ht="15.75" customHeight="1">
      <c r="A16" s="181"/>
      <c r="B16" s="224" t="s">
        <v>167</v>
      </c>
      <c r="C16" s="225"/>
      <c r="D16" s="225"/>
      <c r="E16" s="219"/>
      <c r="F16" s="221"/>
      <c r="G16" s="221"/>
      <c r="H16" s="221"/>
      <c r="I16" s="221"/>
      <c r="J16" s="221"/>
      <c r="K16" s="175"/>
      <c r="L16" s="221"/>
      <c r="M16" s="221"/>
      <c r="N16" s="221"/>
      <c r="O16" s="221"/>
      <c r="P16" s="175"/>
      <c r="Q16" s="175"/>
      <c r="R16" s="175"/>
      <c r="S16" s="175"/>
      <c r="T16" s="175"/>
      <c r="U16" s="175"/>
      <c r="V16" s="175"/>
      <c r="W16" s="175"/>
      <c r="X16" s="221">
        <f t="shared" si="4"/>
        <v>0</v>
      </c>
      <c r="Y16" s="186">
        <f t="shared" si="6"/>
        <v>0</v>
      </c>
      <c r="Z16" s="186"/>
      <c r="AA16" s="175"/>
      <c r="AB16" s="175"/>
      <c r="AC16" s="175"/>
      <c r="AD16" s="175"/>
      <c r="AE16" s="175"/>
      <c r="AF16" s="176"/>
      <c r="AG16" s="219"/>
      <c r="AH16" s="190"/>
    </row>
    <row r="17" spans="1:34" ht="56.25" customHeight="1">
      <c r="A17" s="171">
        <v>2</v>
      </c>
      <c r="B17" s="185" t="s">
        <v>64</v>
      </c>
      <c r="C17" s="182">
        <v>2022</v>
      </c>
      <c r="D17" s="182">
        <v>2025</v>
      </c>
      <c r="E17" s="226" t="s">
        <v>185</v>
      </c>
      <c r="F17" s="175">
        <f>80721+189600</f>
        <v>270321</v>
      </c>
      <c r="G17" s="175">
        <f>80721+189600</f>
        <v>270321</v>
      </c>
      <c r="H17" s="175"/>
      <c r="I17" s="175">
        <v>270321</v>
      </c>
      <c r="J17" s="175"/>
      <c r="K17" s="175"/>
      <c r="L17" s="175">
        <v>5580</v>
      </c>
      <c r="M17" s="175"/>
      <c r="N17" s="175"/>
      <c r="O17" s="175">
        <v>1254.419558</v>
      </c>
      <c r="P17" s="175">
        <f>H17+L17</f>
        <v>5580</v>
      </c>
      <c r="Q17" s="175">
        <f>P17</f>
        <v>5580</v>
      </c>
      <c r="R17" s="175">
        <v>75000</v>
      </c>
      <c r="S17" s="175"/>
      <c r="T17" s="175"/>
      <c r="U17" s="175">
        <v>75000</v>
      </c>
      <c r="V17" s="175"/>
      <c r="W17" s="175"/>
      <c r="X17" s="186">
        <f t="shared" si="4"/>
        <v>80580</v>
      </c>
      <c r="Y17" s="186">
        <f t="shared" si="6"/>
        <v>80580</v>
      </c>
      <c r="Z17" s="186">
        <f>1254+4326+60728</f>
        <v>66308</v>
      </c>
      <c r="AA17" s="175">
        <f>I17-L17-R17</f>
        <v>189741</v>
      </c>
      <c r="AB17" s="175">
        <f>J17-M17-S17</f>
        <v>0</v>
      </c>
      <c r="AC17" s="175">
        <v>125000</v>
      </c>
      <c r="AD17" s="175"/>
      <c r="AE17" s="175"/>
      <c r="AF17" s="245">
        <f>(AC17+R17+Q17)/G17</f>
        <v>0.7605032535393107</v>
      </c>
      <c r="AG17" s="131" t="s">
        <v>65</v>
      </c>
      <c r="AH17" s="190"/>
    </row>
    <row r="18" spans="1:34" ht="15.75" customHeight="1">
      <c r="A18" s="181" t="s">
        <v>39</v>
      </c>
      <c r="B18" s="179" t="s">
        <v>66</v>
      </c>
      <c r="C18" s="244"/>
      <c r="D18" s="244"/>
      <c r="E18" s="219"/>
      <c r="F18" s="221">
        <f>SUM(F19:F20)</f>
        <v>48000</v>
      </c>
      <c r="G18" s="221">
        <f aca="true" t="shared" si="7" ref="G18:AE18">SUM(G19:G20)</f>
        <v>48000</v>
      </c>
      <c r="H18" s="221">
        <f t="shared" si="7"/>
        <v>0</v>
      </c>
      <c r="I18" s="221">
        <f>SUM(I19:I20)</f>
        <v>48000</v>
      </c>
      <c r="J18" s="221">
        <f>SUM(J19:J20)</f>
        <v>0</v>
      </c>
      <c r="K18" s="221">
        <f>SUM(K19:K20)</f>
        <v>0</v>
      </c>
      <c r="L18" s="221">
        <f t="shared" si="7"/>
        <v>23000</v>
      </c>
      <c r="M18" s="221">
        <f t="shared" si="7"/>
        <v>0</v>
      </c>
      <c r="N18" s="221">
        <f t="shared" si="7"/>
        <v>0</v>
      </c>
      <c r="O18" s="221">
        <f t="shared" si="7"/>
        <v>815</v>
      </c>
      <c r="P18" s="221">
        <f t="shared" si="7"/>
        <v>23000</v>
      </c>
      <c r="Q18" s="221">
        <f t="shared" si="7"/>
        <v>23000</v>
      </c>
      <c r="R18" s="221">
        <f t="shared" si="7"/>
        <v>14317</v>
      </c>
      <c r="S18" s="221">
        <f t="shared" si="7"/>
        <v>0</v>
      </c>
      <c r="T18" s="221">
        <f t="shared" si="7"/>
        <v>0</v>
      </c>
      <c r="U18" s="221">
        <f t="shared" si="7"/>
        <v>8571.236859</v>
      </c>
      <c r="V18" s="221">
        <f t="shared" si="7"/>
        <v>5745.763141</v>
      </c>
      <c r="W18" s="221">
        <f t="shared" si="7"/>
        <v>5745.763141</v>
      </c>
      <c r="X18" s="221">
        <f t="shared" si="4"/>
        <v>37317</v>
      </c>
      <c r="Y18" s="221">
        <f t="shared" si="6"/>
        <v>37317</v>
      </c>
      <c r="Z18" s="221">
        <f t="shared" si="7"/>
        <v>31570</v>
      </c>
      <c r="AA18" s="221">
        <f t="shared" si="7"/>
        <v>10683</v>
      </c>
      <c r="AB18" s="221">
        <f t="shared" si="7"/>
        <v>0</v>
      </c>
      <c r="AC18" s="221">
        <f t="shared" si="7"/>
        <v>10682</v>
      </c>
      <c r="AD18" s="221">
        <f t="shared" si="7"/>
        <v>0</v>
      </c>
      <c r="AE18" s="221">
        <f t="shared" si="7"/>
        <v>0</v>
      </c>
      <c r="AF18" s="222"/>
      <c r="AG18" s="246"/>
      <c r="AH18" s="190"/>
    </row>
    <row r="19" spans="1:34" ht="15.75" customHeight="1">
      <c r="A19" s="171"/>
      <c r="B19" s="224" t="s">
        <v>167</v>
      </c>
      <c r="C19" s="225"/>
      <c r="D19" s="225"/>
      <c r="E19" s="131"/>
      <c r="F19" s="175"/>
      <c r="G19" s="175"/>
      <c r="H19" s="175"/>
      <c r="I19" s="175"/>
      <c r="J19" s="175"/>
      <c r="K19" s="175"/>
      <c r="L19" s="175"/>
      <c r="M19" s="175"/>
      <c r="N19" s="175"/>
      <c r="O19" s="175"/>
      <c r="P19" s="175"/>
      <c r="Q19" s="175"/>
      <c r="R19" s="175"/>
      <c r="S19" s="175"/>
      <c r="T19" s="175"/>
      <c r="U19" s="175"/>
      <c r="V19" s="175"/>
      <c r="W19" s="175"/>
      <c r="X19" s="221">
        <f t="shared" si="4"/>
        <v>0</v>
      </c>
      <c r="Y19" s="186">
        <f t="shared" si="6"/>
        <v>0</v>
      </c>
      <c r="Z19" s="186"/>
      <c r="AA19" s="175"/>
      <c r="AB19" s="175"/>
      <c r="AC19" s="175"/>
      <c r="AD19" s="175"/>
      <c r="AE19" s="175"/>
      <c r="AF19" s="176"/>
      <c r="AG19" s="131"/>
      <c r="AH19" s="190"/>
    </row>
    <row r="20" spans="1:34" ht="47.25">
      <c r="A20" s="171">
        <v>3</v>
      </c>
      <c r="B20" s="185" t="s">
        <v>67</v>
      </c>
      <c r="C20" s="182">
        <v>2021</v>
      </c>
      <c r="D20" s="182">
        <v>2022</v>
      </c>
      <c r="E20" s="226" t="s">
        <v>112</v>
      </c>
      <c r="F20" s="175">
        <v>48000</v>
      </c>
      <c r="G20" s="175">
        <v>48000</v>
      </c>
      <c r="H20" s="175"/>
      <c r="I20" s="175">
        <v>48000</v>
      </c>
      <c r="J20" s="175"/>
      <c r="K20" s="175"/>
      <c r="L20" s="175">
        <v>23000</v>
      </c>
      <c r="M20" s="175"/>
      <c r="N20" s="175"/>
      <c r="O20" s="175">
        <v>815</v>
      </c>
      <c r="P20" s="175">
        <f>H20+L20</f>
        <v>23000</v>
      </c>
      <c r="Q20" s="175">
        <f>P20</f>
        <v>23000</v>
      </c>
      <c r="R20" s="175">
        <v>14317</v>
      </c>
      <c r="S20" s="175"/>
      <c r="T20" s="175"/>
      <c r="U20" s="355">
        <v>8571.236859</v>
      </c>
      <c r="V20" s="175">
        <v>5745.763141</v>
      </c>
      <c r="W20" s="175">
        <f>V20</f>
        <v>5745.763141</v>
      </c>
      <c r="X20" s="186">
        <f t="shared" si="4"/>
        <v>37317</v>
      </c>
      <c r="Y20" s="186">
        <f t="shared" si="6"/>
        <v>37317</v>
      </c>
      <c r="Z20" s="186">
        <f>815+22184+8571</f>
        <v>31570</v>
      </c>
      <c r="AA20" s="175">
        <f>I20-L20-R20</f>
        <v>10683</v>
      </c>
      <c r="AB20" s="175">
        <f>J20-M20-S20</f>
        <v>0</v>
      </c>
      <c r="AC20" s="175">
        <v>10682</v>
      </c>
      <c r="AD20" s="175"/>
      <c r="AE20" s="175"/>
      <c r="AF20" s="245">
        <f>(AC20+R20+Q20)/G20</f>
        <v>0.9999791666666666</v>
      </c>
      <c r="AG20" s="131" t="s">
        <v>68</v>
      </c>
      <c r="AH20" s="356"/>
    </row>
    <row r="21" spans="1:34" ht="15.75" customHeight="1">
      <c r="A21" s="181" t="s">
        <v>44</v>
      </c>
      <c r="B21" s="179" t="s">
        <v>72</v>
      </c>
      <c r="C21" s="244"/>
      <c r="D21" s="244"/>
      <c r="E21" s="219"/>
      <c r="F21" s="221">
        <f>SUM(F22:F23)</f>
        <v>81000</v>
      </c>
      <c r="G21" s="221">
        <f aca="true" t="shared" si="8" ref="G21:AF21">SUM(G22:G23)</f>
        <v>81000</v>
      </c>
      <c r="H21" s="221">
        <f t="shared" si="8"/>
        <v>0</v>
      </c>
      <c r="I21" s="221">
        <f>SUM(I22:I23)</f>
        <v>81000</v>
      </c>
      <c r="J21" s="221">
        <f>SUM(J22:J23)</f>
        <v>0</v>
      </c>
      <c r="K21" s="221">
        <f>SUM(K22:K23)</f>
        <v>0</v>
      </c>
      <c r="L21" s="221">
        <f t="shared" si="8"/>
        <v>2678</v>
      </c>
      <c r="M21" s="221">
        <f t="shared" si="8"/>
        <v>0</v>
      </c>
      <c r="N21" s="221">
        <f t="shared" si="8"/>
        <v>0</v>
      </c>
      <c r="O21" s="221">
        <f t="shared" si="8"/>
        <v>1101.298</v>
      </c>
      <c r="P21" s="221">
        <f t="shared" si="8"/>
        <v>2678</v>
      </c>
      <c r="Q21" s="221">
        <f t="shared" si="8"/>
        <v>2678</v>
      </c>
      <c r="R21" s="221">
        <f t="shared" si="8"/>
        <v>3200</v>
      </c>
      <c r="S21" s="221">
        <f t="shared" si="8"/>
        <v>0</v>
      </c>
      <c r="T21" s="221">
        <f t="shared" si="8"/>
        <v>0</v>
      </c>
      <c r="U21" s="221">
        <f t="shared" si="8"/>
        <v>1594.832</v>
      </c>
      <c r="V21" s="221">
        <f t="shared" si="8"/>
        <v>1605.168</v>
      </c>
      <c r="W21" s="221">
        <f t="shared" si="8"/>
        <v>1605</v>
      </c>
      <c r="X21" s="221">
        <f t="shared" si="8"/>
        <v>5878</v>
      </c>
      <c r="Y21" s="221">
        <f t="shared" si="8"/>
        <v>5878</v>
      </c>
      <c r="Z21" s="221">
        <f t="shared" si="8"/>
        <v>2361</v>
      </c>
      <c r="AA21" s="221">
        <f t="shared" si="8"/>
        <v>75122</v>
      </c>
      <c r="AB21" s="221">
        <f t="shared" si="8"/>
        <v>0</v>
      </c>
      <c r="AC21" s="221">
        <f t="shared" si="8"/>
        <v>35000</v>
      </c>
      <c r="AD21" s="221">
        <f t="shared" si="8"/>
        <v>0</v>
      </c>
      <c r="AE21" s="221">
        <f t="shared" si="8"/>
        <v>0</v>
      </c>
      <c r="AF21" s="221">
        <f t="shared" si="8"/>
        <v>0.5046666666666667</v>
      </c>
      <c r="AG21" s="246"/>
      <c r="AH21" s="190"/>
    </row>
    <row r="22" spans="1:34" ht="15.75" customHeight="1">
      <c r="A22" s="171"/>
      <c r="B22" s="224" t="s">
        <v>59</v>
      </c>
      <c r="C22" s="225"/>
      <c r="D22" s="225"/>
      <c r="E22" s="131"/>
      <c r="F22" s="175"/>
      <c r="G22" s="175"/>
      <c r="H22" s="175"/>
      <c r="I22" s="175"/>
      <c r="J22" s="175"/>
      <c r="K22" s="175"/>
      <c r="L22" s="175"/>
      <c r="M22" s="175"/>
      <c r="N22" s="175"/>
      <c r="O22" s="175"/>
      <c r="P22" s="175"/>
      <c r="Q22" s="175"/>
      <c r="R22" s="175"/>
      <c r="S22" s="175"/>
      <c r="T22" s="175"/>
      <c r="U22" s="175"/>
      <c r="V22" s="175"/>
      <c r="W22" s="175"/>
      <c r="X22" s="221">
        <f t="shared" si="4"/>
        <v>0</v>
      </c>
      <c r="Y22" s="186">
        <f t="shared" si="6"/>
        <v>0</v>
      </c>
      <c r="Z22" s="186"/>
      <c r="AA22" s="175"/>
      <c r="AB22" s="175"/>
      <c r="AC22" s="175"/>
      <c r="AD22" s="175"/>
      <c r="AE22" s="175"/>
      <c r="AF22" s="176"/>
      <c r="AG22" s="131"/>
      <c r="AH22" s="190"/>
    </row>
    <row r="23" spans="1:34" ht="45" customHeight="1">
      <c r="A23" s="171">
        <v>4</v>
      </c>
      <c r="B23" s="185" t="s">
        <v>73</v>
      </c>
      <c r="C23" s="182">
        <v>2022</v>
      </c>
      <c r="D23" s="182">
        <v>2025</v>
      </c>
      <c r="E23" s="226" t="s">
        <v>208</v>
      </c>
      <c r="F23" s="175">
        <v>81000</v>
      </c>
      <c r="G23" s="175">
        <v>81000</v>
      </c>
      <c r="H23" s="175"/>
      <c r="I23" s="175">
        <v>81000</v>
      </c>
      <c r="J23" s="175"/>
      <c r="K23" s="175"/>
      <c r="L23" s="175">
        <v>2678</v>
      </c>
      <c r="M23" s="175"/>
      <c r="N23" s="175"/>
      <c r="O23" s="175">
        <v>1101.298</v>
      </c>
      <c r="P23" s="175">
        <f>H23+L23</f>
        <v>2678</v>
      </c>
      <c r="Q23" s="175">
        <f>P23</f>
        <v>2678</v>
      </c>
      <c r="R23" s="175">
        <v>3200</v>
      </c>
      <c r="S23" s="175"/>
      <c r="T23" s="175"/>
      <c r="U23" s="175">
        <v>1594.832</v>
      </c>
      <c r="V23" s="175">
        <f>R23-U23</f>
        <v>1605.168</v>
      </c>
      <c r="W23" s="175">
        <v>1605</v>
      </c>
      <c r="X23" s="186">
        <f t="shared" si="4"/>
        <v>5878</v>
      </c>
      <c r="Y23" s="186">
        <f t="shared" si="6"/>
        <v>5878</v>
      </c>
      <c r="Z23" s="186">
        <f>1101+1260</f>
        <v>2361</v>
      </c>
      <c r="AA23" s="175">
        <f>I23-L23-R23</f>
        <v>75122</v>
      </c>
      <c r="AB23" s="175">
        <f>J23-M23-S23</f>
        <v>0</v>
      </c>
      <c r="AC23" s="175">
        <v>35000</v>
      </c>
      <c r="AD23" s="175"/>
      <c r="AE23" s="175"/>
      <c r="AF23" s="245">
        <f>(AC23+R23+Q23)/G23</f>
        <v>0.5046666666666667</v>
      </c>
      <c r="AG23" s="131" t="s">
        <v>74</v>
      </c>
      <c r="AH23" s="190"/>
    </row>
    <row r="24" spans="1:34" ht="15.75" customHeight="1">
      <c r="A24" s="181" t="s">
        <v>69</v>
      </c>
      <c r="B24" s="179" t="s">
        <v>76</v>
      </c>
      <c r="C24" s="244"/>
      <c r="D24" s="244"/>
      <c r="E24" s="219"/>
      <c r="F24" s="221">
        <f>SUM(F25:F28)</f>
        <v>320800</v>
      </c>
      <c r="G24" s="221">
        <f aca="true" t="shared" si="9" ref="G24:AE24">SUM(G25:G28)</f>
        <v>320800</v>
      </c>
      <c r="H24" s="221">
        <f t="shared" si="9"/>
        <v>0</v>
      </c>
      <c r="I24" s="221">
        <f>SUM(I25:I28)</f>
        <v>320800</v>
      </c>
      <c r="J24" s="221">
        <f>SUM(J25:J28)</f>
        <v>0</v>
      </c>
      <c r="K24" s="221">
        <f>SUM(K25:K28)</f>
        <v>0</v>
      </c>
      <c r="L24" s="221">
        <f t="shared" si="9"/>
        <v>16533</v>
      </c>
      <c r="M24" s="221">
        <f t="shared" si="9"/>
        <v>0</v>
      </c>
      <c r="N24" s="221">
        <f t="shared" si="9"/>
        <v>0</v>
      </c>
      <c r="O24" s="221">
        <f t="shared" si="9"/>
        <v>12895.034</v>
      </c>
      <c r="P24" s="221">
        <f t="shared" si="9"/>
        <v>16533</v>
      </c>
      <c r="Q24" s="221">
        <f t="shared" si="9"/>
        <v>16533</v>
      </c>
      <c r="R24" s="221">
        <f t="shared" si="9"/>
        <v>172000</v>
      </c>
      <c r="S24" s="221">
        <f t="shared" si="9"/>
        <v>0</v>
      </c>
      <c r="T24" s="221">
        <f t="shared" si="9"/>
        <v>0</v>
      </c>
      <c r="U24" s="221">
        <f t="shared" si="9"/>
        <v>172000</v>
      </c>
      <c r="V24" s="221">
        <f t="shared" si="9"/>
        <v>0</v>
      </c>
      <c r="W24" s="221">
        <f t="shared" si="9"/>
        <v>0</v>
      </c>
      <c r="X24" s="221">
        <f t="shared" si="4"/>
        <v>188533</v>
      </c>
      <c r="Y24" s="221">
        <f t="shared" si="6"/>
        <v>188533</v>
      </c>
      <c r="Z24" s="221">
        <f t="shared" si="9"/>
        <v>156657</v>
      </c>
      <c r="AA24" s="221">
        <f t="shared" si="9"/>
        <v>132267</v>
      </c>
      <c r="AB24" s="221">
        <f t="shared" si="9"/>
        <v>0</v>
      </c>
      <c r="AC24" s="221">
        <f t="shared" si="9"/>
        <v>58000</v>
      </c>
      <c r="AD24" s="221">
        <f t="shared" si="9"/>
        <v>0</v>
      </c>
      <c r="AE24" s="221">
        <f t="shared" si="9"/>
        <v>0</v>
      </c>
      <c r="AF24" s="222"/>
      <c r="AG24" s="246"/>
      <c r="AH24" s="190"/>
    </row>
    <row r="25" spans="1:34" ht="15.75" customHeight="1">
      <c r="A25" s="181"/>
      <c r="B25" s="224" t="s">
        <v>59</v>
      </c>
      <c r="C25" s="225"/>
      <c r="D25" s="225"/>
      <c r="E25" s="219"/>
      <c r="F25" s="221"/>
      <c r="G25" s="221"/>
      <c r="H25" s="221"/>
      <c r="I25" s="221"/>
      <c r="J25" s="221"/>
      <c r="K25" s="175"/>
      <c r="L25" s="221"/>
      <c r="M25" s="221"/>
      <c r="N25" s="221"/>
      <c r="O25" s="221"/>
      <c r="P25" s="175"/>
      <c r="Q25" s="175"/>
      <c r="R25" s="175"/>
      <c r="S25" s="175"/>
      <c r="T25" s="175"/>
      <c r="U25" s="175"/>
      <c r="V25" s="175"/>
      <c r="W25" s="175"/>
      <c r="X25" s="221">
        <f t="shared" si="4"/>
        <v>0</v>
      </c>
      <c r="Y25" s="186">
        <f t="shared" si="6"/>
        <v>0</v>
      </c>
      <c r="Z25" s="186"/>
      <c r="AA25" s="175"/>
      <c r="AB25" s="175"/>
      <c r="AC25" s="175"/>
      <c r="AD25" s="175"/>
      <c r="AE25" s="175"/>
      <c r="AF25" s="176"/>
      <c r="AG25" s="219"/>
      <c r="AH25" s="190"/>
    </row>
    <row r="26" spans="1:34" ht="78.75">
      <c r="A26" s="171">
        <v>5</v>
      </c>
      <c r="B26" s="185" t="s">
        <v>77</v>
      </c>
      <c r="C26" s="182">
        <v>2022</v>
      </c>
      <c r="D26" s="182">
        <v>2025</v>
      </c>
      <c r="E26" s="226" t="s">
        <v>177</v>
      </c>
      <c r="F26" s="175">
        <v>60800</v>
      </c>
      <c r="G26" s="175">
        <v>60800</v>
      </c>
      <c r="H26" s="175"/>
      <c r="I26" s="175">
        <v>60800</v>
      </c>
      <c r="J26" s="175"/>
      <c r="K26" s="175"/>
      <c r="L26" s="175">
        <v>400</v>
      </c>
      <c r="M26" s="175"/>
      <c r="N26" s="175"/>
      <c r="O26" s="175">
        <v>388.202</v>
      </c>
      <c r="P26" s="175">
        <f>H26+L26</f>
        <v>400</v>
      </c>
      <c r="Q26" s="175">
        <f>P26</f>
        <v>400</v>
      </c>
      <c r="R26" s="175">
        <v>40000</v>
      </c>
      <c r="S26" s="175"/>
      <c r="T26" s="175"/>
      <c r="U26" s="175">
        <v>40000</v>
      </c>
      <c r="V26" s="175"/>
      <c r="W26" s="175"/>
      <c r="X26" s="186">
        <f t="shared" si="4"/>
        <v>40400</v>
      </c>
      <c r="Y26" s="186">
        <f t="shared" si="6"/>
        <v>40400</v>
      </c>
      <c r="Z26" s="186">
        <f>388+28935</f>
        <v>29323</v>
      </c>
      <c r="AA26" s="175">
        <f aca="true" t="shared" si="10" ref="AA26:AB28">I26-L26-R26</f>
        <v>20400</v>
      </c>
      <c r="AB26" s="175">
        <f t="shared" si="10"/>
        <v>0</v>
      </c>
      <c r="AC26" s="175">
        <v>10000</v>
      </c>
      <c r="AD26" s="175"/>
      <c r="AE26" s="175"/>
      <c r="AF26" s="245">
        <f>(AC26+R26+Q26)/G26</f>
        <v>0.8289473684210527</v>
      </c>
      <c r="AG26" s="131" t="s">
        <v>195</v>
      </c>
      <c r="AH26" s="190"/>
    </row>
    <row r="27" spans="1:34" ht="78.75">
      <c r="A27" s="171">
        <v>6</v>
      </c>
      <c r="B27" s="185" t="s">
        <v>78</v>
      </c>
      <c r="C27" s="182">
        <v>2022</v>
      </c>
      <c r="D27" s="182">
        <v>2025</v>
      </c>
      <c r="E27" s="226" t="s">
        <v>194</v>
      </c>
      <c r="F27" s="175">
        <v>60000</v>
      </c>
      <c r="G27" s="175">
        <v>60000</v>
      </c>
      <c r="H27" s="175"/>
      <c r="I27" s="175">
        <v>60000</v>
      </c>
      <c r="J27" s="175"/>
      <c r="K27" s="175"/>
      <c r="L27" s="175">
        <v>2250</v>
      </c>
      <c r="M27" s="175"/>
      <c r="N27" s="175"/>
      <c r="O27" s="175">
        <v>698.1220000000001</v>
      </c>
      <c r="P27" s="175">
        <f>H27+L27</f>
        <v>2250</v>
      </c>
      <c r="Q27" s="175">
        <f>P27</f>
        <v>2250</v>
      </c>
      <c r="R27" s="175">
        <f>20000+15000</f>
        <v>35000</v>
      </c>
      <c r="S27" s="175"/>
      <c r="T27" s="175"/>
      <c r="U27" s="175">
        <f>20000+15000</f>
        <v>35000</v>
      </c>
      <c r="V27" s="175"/>
      <c r="W27" s="175"/>
      <c r="X27" s="186">
        <f t="shared" si="4"/>
        <v>37250</v>
      </c>
      <c r="Y27" s="186">
        <f t="shared" si="6"/>
        <v>37250</v>
      </c>
      <c r="Z27" s="186">
        <f>698+26765</f>
        <v>27463</v>
      </c>
      <c r="AA27" s="175">
        <f t="shared" si="10"/>
        <v>22750</v>
      </c>
      <c r="AB27" s="175">
        <f t="shared" si="10"/>
        <v>0</v>
      </c>
      <c r="AC27" s="175">
        <f>20000-15000</f>
        <v>5000</v>
      </c>
      <c r="AD27" s="175"/>
      <c r="AE27" s="175"/>
      <c r="AF27" s="245">
        <f>(AC27+R27+Q27)/G27</f>
        <v>0.7041666666666667</v>
      </c>
      <c r="AG27" s="131" t="s">
        <v>195</v>
      </c>
      <c r="AH27" s="190"/>
    </row>
    <row r="28" spans="1:34" ht="78.75">
      <c r="A28" s="171">
        <v>7</v>
      </c>
      <c r="B28" s="185" t="s">
        <v>79</v>
      </c>
      <c r="C28" s="182">
        <v>2021</v>
      </c>
      <c r="D28" s="182">
        <v>2025</v>
      </c>
      <c r="E28" s="226" t="s">
        <v>186</v>
      </c>
      <c r="F28" s="175">
        <v>200000</v>
      </c>
      <c r="G28" s="175">
        <v>200000</v>
      </c>
      <c r="H28" s="175"/>
      <c r="I28" s="175">
        <v>200000</v>
      </c>
      <c r="J28" s="175"/>
      <c r="K28" s="175"/>
      <c r="L28" s="175">
        <v>13883</v>
      </c>
      <c r="M28" s="175"/>
      <c r="N28" s="175"/>
      <c r="O28" s="175">
        <v>11808.71</v>
      </c>
      <c r="P28" s="175">
        <f>H28+L28</f>
        <v>13883</v>
      </c>
      <c r="Q28" s="175">
        <f>P28</f>
        <v>13883</v>
      </c>
      <c r="R28" s="175">
        <f>112000-15000</f>
        <v>97000</v>
      </c>
      <c r="S28" s="175"/>
      <c r="T28" s="175"/>
      <c r="U28" s="175">
        <f>112000-15000</f>
        <v>97000</v>
      </c>
      <c r="V28" s="175"/>
      <c r="W28" s="175"/>
      <c r="X28" s="186">
        <f t="shared" si="4"/>
        <v>110883</v>
      </c>
      <c r="Y28" s="186">
        <f t="shared" si="6"/>
        <v>110883</v>
      </c>
      <c r="Z28" s="186">
        <f>11809+88062</f>
        <v>99871</v>
      </c>
      <c r="AA28" s="175">
        <f t="shared" si="10"/>
        <v>89117</v>
      </c>
      <c r="AB28" s="175">
        <f t="shared" si="10"/>
        <v>0</v>
      </c>
      <c r="AC28" s="175">
        <f>28000+15000</f>
        <v>43000</v>
      </c>
      <c r="AD28" s="175"/>
      <c r="AE28" s="175"/>
      <c r="AF28" s="245">
        <f>(AC28+R28+Q28)/G28</f>
        <v>0.769415</v>
      </c>
      <c r="AG28" s="131" t="s">
        <v>195</v>
      </c>
      <c r="AH28" s="190"/>
    </row>
    <row r="29" spans="1:34" ht="24" customHeight="1">
      <c r="A29" s="181" t="s">
        <v>71</v>
      </c>
      <c r="B29" s="179" t="s">
        <v>81</v>
      </c>
      <c r="C29" s="244"/>
      <c r="D29" s="244"/>
      <c r="E29" s="219"/>
      <c r="F29" s="221">
        <f aca="true" t="shared" si="11" ref="F29:T29">SUM(F30:F39)</f>
        <v>3636909</v>
      </c>
      <c r="G29" s="221">
        <f t="shared" si="11"/>
        <v>3140000</v>
      </c>
      <c r="H29" s="221">
        <f t="shared" si="11"/>
        <v>49000</v>
      </c>
      <c r="I29" s="221">
        <f t="shared" si="11"/>
        <v>3091000</v>
      </c>
      <c r="J29" s="221">
        <f t="shared" si="11"/>
        <v>1700000</v>
      </c>
      <c r="K29" s="221">
        <f t="shared" si="11"/>
        <v>0</v>
      </c>
      <c r="L29" s="221">
        <f t="shared" si="11"/>
        <v>714117</v>
      </c>
      <c r="M29" s="221">
        <f t="shared" si="11"/>
        <v>300000</v>
      </c>
      <c r="N29" s="221">
        <f t="shared" si="11"/>
        <v>0</v>
      </c>
      <c r="O29" s="221">
        <f t="shared" si="11"/>
        <v>659263.854559</v>
      </c>
      <c r="P29" s="221">
        <f t="shared" si="11"/>
        <v>857743</v>
      </c>
      <c r="Q29" s="221">
        <f t="shared" si="11"/>
        <v>763117</v>
      </c>
      <c r="R29" s="221">
        <f t="shared" si="11"/>
        <v>1255930</v>
      </c>
      <c r="S29" s="221">
        <f t="shared" si="11"/>
        <v>930930</v>
      </c>
      <c r="T29" s="221">
        <f t="shared" si="11"/>
        <v>110000</v>
      </c>
      <c r="U29" s="221">
        <f aca="true" t="shared" si="12" ref="U29:AF29">SUM(U30:U39)</f>
        <v>620634.6933309999</v>
      </c>
      <c r="V29" s="221">
        <f t="shared" si="12"/>
        <v>635295.306669</v>
      </c>
      <c r="W29" s="221">
        <f t="shared" si="12"/>
        <v>621104.306669</v>
      </c>
      <c r="X29" s="221">
        <f t="shared" si="12"/>
        <v>2019047</v>
      </c>
      <c r="Y29" s="221">
        <f t="shared" si="12"/>
        <v>1970047</v>
      </c>
      <c r="Z29" s="221">
        <f t="shared" si="12"/>
        <v>1018587</v>
      </c>
      <c r="AA29" s="221">
        <f t="shared" si="12"/>
        <v>1120953</v>
      </c>
      <c r="AB29" s="221">
        <f t="shared" si="12"/>
        <v>469070</v>
      </c>
      <c r="AC29" s="221">
        <f t="shared" si="12"/>
        <v>505132</v>
      </c>
      <c r="AD29" s="221">
        <f t="shared" si="12"/>
        <v>400000</v>
      </c>
      <c r="AE29" s="221">
        <f t="shared" si="12"/>
        <v>0</v>
      </c>
      <c r="AF29" s="221">
        <f t="shared" si="12"/>
        <v>6.135158763927111</v>
      </c>
      <c r="AG29" s="246"/>
      <c r="AH29" s="190"/>
    </row>
    <row r="30" spans="1:34" ht="31.5" customHeight="1">
      <c r="A30" s="227"/>
      <c r="B30" s="187" t="s">
        <v>434</v>
      </c>
      <c r="C30" s="225"/>
      <c r="D30" s="225"/>
      <c r="E30" s="131"/>
      <c r="F30" s="175"/>
      <c r="G30" s="175"/>
      <c r="H30" s="175"/>
      <c r="I30" s="175"/>
      <c r="J30" s="175"/>
      <c r="K30" s="175"/>
      <c r="L30" s="175"/>
      <c r="M30" s="175"/>
      <c r="N30" s="175"/>
      <c r="O30" s="175"/>
      <c r="P30" s="175"/>
      <c r="Q30" s="175"/>
      <c r="R30" s="175"/>
      <c r="S30" s="175"/>
      <c r="T30" s="175"/>
      <c r="U30" s="175"/>
      <c r="V30" s="175"/>
      <c r="W30" s="175"/>
      <c r="X30" s="186">
        <f t="shared" si="4"/>
        <v>0</v>
      </c>
      <c r="Y30" s="186">
        <f t="shared" si="6"/>
        <v>0</v>
      </c>
      <c r="Z30" s="186"/>
      <c r="AA30" s="175">
        <f aca="true" t="shared" si="13" ref="AA30:AA39">I30-L30-R30</f>
        <v>0</v>
      </c>
      <c r="AB30" s="175">
        <f aca="true" t="shared" si="14" ref="AB30:AB39">J30-M30-S30</f>
        <v>0</v>
      </c>
      <c r="AC30" s="175"/>
      <c r="AD30" s="175"/>
      <c r="AE30" s="175"/>
      <c r="AF30" s="176"/>
      <c r="AG30" s="131"/>
      <c r="AH30" s="190"/>
    </row>
    <row r="31" spans="1:34" ht="189">
      <c r="A31" s="171">
        <v>8</v>
      </c>
      <c r="B31" s="185" t="s">
        <v>82</v>
      </c>
      <c r="C31" s="182">
        <v>2021</v>
      </c>
      <c r="D31" s="182">
        <v>2025</v>
      </c>
      <c r="E31" s="226" t="s">
        <v>375</v>
      </c>
      <c r="F31" s="175">
        <v>2837809</v>
      </c>
      <c r="G31" s="175">
        <v>2560000</v>
      </c>
      <c r="H31" s="175">
        <v>49000</v>
      </c>
      <c r="I31" s="175">
        <v>2511000</v>
      </c>
      <c r="J31" s="175">
        <v>1700000</v>
      </c>
      <c r="K31" s="175"/>
      <c r="L31" s="175">
        <v>702494</v>
      </c>
      <c r="M31" s="175">
        <v>300000</v>
      </c>
      <c r="N31" s="175"/>
      <c r="O31" s="175">
        <v>652942</v>
      </c>
      <c r="P31" s="175">
        <f>Q31+94626</f>
        <v>846120</v>
      </c>
      <c r="Q31" s="175">
        <f>H31+L31</f>
        <v>751494</v>
      </c>
      <c r="R31" s="175">
        <v>930930</v>
      </c>
      <c r="S31" s="175">
        <v>930930</v>
      </c>
      <c r="T31" s="175"/>
      <c r="U31" s="175">
        <v>309825.693331</v>
      </c>
      <c r="V31" s="175">
        <v>621104.306669</v>
      </c>
      <c r="W31" s="175">
        <f>V31</f>
        <v>621104.306669</v>
      </c>
      <c r="X31" s="186">
        <f t="shared" si="4"/>
        <v>1682424</v>
      </c>
      <c r="Y31" s="186">
        <f t="shared" si="6"/>
        <v>1633424</v>
      </c>
      <c r="Z31" s="186">
        <f>O31+168337</f>
        <v>821279</v>
      </c>
      <c r="AA31" s="175">
        <f>I31-L31-R31</f>
        <v>877576</v>
      </c>
      <c r="AB31" s="175">
        <f t="shared" si="14"/>
        <v>469070</v>
      </c>
      <c r="AC31" s="175">
        <v>400000</v>
      </c>
      <c r="AD31" s="175">
        <v>400000</v>
      </c>
      <c r="AE31" s="175"/>
      <c r="AF31" s="245">
        <f>(AC31+R31+Q31)/G31</f>
        <v>0.813446875</v>
      </c>
      <c r="AG31" s="131" t="s">
        <v>62</v>
      </c>
      <c r="AH31" s="210"/>
    </row>
    <row r="32" spans="1:34" ht="15.75" customHeight="1">
      <c r="A32" s="227"/>
      <c r="B32" s="187" t="s">
        <v>435</v>
      </c>
      <c r="C32" s="225"/>
      <c r="D32" s="225"/>
      <c r="E32" s="131"/>
      <c r="F32" s="175"/>
      <c r="G32" s="175"/>
      <c r="H32" s="175"/>
      <c r="I32" s="175"/>
      <c r="J32" s="175"/>
      <c r="K32" s="175"/>
      <c r="L32" s="175"/>
      <c r="M32" s="175"/>
      <c r="N32" s="175"/>
      <c r="O32" s="175"/>
      <c r="P32" s="175"/>
      <c r="Q32" s="175"/>
      <c r="R32" s="175"/>
      <c r="S32" s="175"/>
      <c r="T32" s="175"/>
      <c r="U32" s="175"/>
      <c r="V32" s="175"/>
      <c r="W32" s="175"/>
      <c r="X32" s="186">
        <f t="shared" si="4"/>
        <v>0</v>
      </c>
      <c r="Y32" s="186">
        <f t="shared" si="6"/>
        <v>0</v>
      </c>
      <c r="Z32" s="186"/>
      <c r="AA32" s="175">
        <f t="shared" si="13"/>
        <v>0</v>
      </c>
      <c r="AB32" s="175">
        <f t="shared" si="14"/>
        <v>0</v>
      </c>
      <c r="AC32" s="175"/>
      <c r="AD32" s="175"/>
      <c r="AE32" s="175"/>
      <c r="AF32" s="176"/>
      <c r="AG32" s="131"/>
      <c r="AH32" s="190"/>
    </row>
    <row r="33" spans="1:34" ht="31.5" customHeight="1">
      <c r="A33" s="171">
        <v>9</v>
      </c>
      <c r="B33" s="185" t="s">
        <v>180</v>
      </c>
      <c r="C33" s="182">
        <v>2022</v>
      </c>
      <c r="D33" s="182">
        <v>2025</v>
      </c>
      <c r="E33" s="226" t="s">
        <v>179</v>
      </c>
      <c r="F33" s="175">
        <v>106300</v>
      </c>
      <c r="G33" s="175">
        <v>81000</v>
      </c>
      <c r="H33" s="175"/>
      <c r="I33" s="175">
        <v>81000</v>
      </c>
      <c r="J33" s="175"/>
      <c r="K33" s="175"/>
      <c r="L33" s="175">
        <v>1036</v>
      </c>
      <c r="M33" s="175"/>
      <c r="N33" s="175"/>
      <c r="O33" s="175">
        <v>893.049</v>
      </c>
      <c r="P33" s="175">
        <f aca="true" t="shared" si="15" ref="P33:P39">H33+L33</f>
        <v>1036</v>
      </c>
      <c r="Q33" s="175">
        <f aca="true" t="shared" si="16" ref="Q33:Q39">P33</f>
        <v>1036</v>
      </c>
      <c r="R33" s="175">
        <f>23000+T33</f>
        <v>48000</v>
      </c>
      <c r="S33" s="175"/>
      <c r="T33" s="175">
        <v>25000</v>
      </c>
      <c r="U33" s="175">
        <v>47870</v>
      </c>
      <c r="V33" s="175">
        <f>R33-U33</f>
        <v>130</v>
      </c>
      <c r="W33" s="175"/>
      <c r="X33" s="186">
        <f t="shared" si="4"/>
        <v>49036</v>
      </c>
      <c r="Y33" s="186">
        <f t="shared" si="6"/>
        <v>49036</v>
      </c>
      <c r="Z33" s="186">
        <f>893+143+2219</f>
        <v>3255</v>
      </c>
      <c r="AA33" s="175">
        <f t="shared" si="13"/>
        <v>31964</v>
      </c>
      <c r="AB33" s="175">
        <f t="shared" si="14"/>
        <v>0</v>
      </c>
      <c r="AC33" s="175">
        <v>8000</v>
      </c>
      <c r="AD33" s="175"/>
      <c r="AE33" s="175"/>
      <c r="AF33" s="245">
        <f aca="true" t="shared" si="17" ref="AF33:AF39">(AC33+R33+Q33)/G33</f>
        <v>0.7041481481481482</v>
      </c>
      <c r="AG33" s="131" t="s">
        <v>84</v>
      </c>
      <c r="AH33" s="190"/>
    </row>
    <row r="34" spans="1:34" ht="31.5" customHeight="1">
      <c r="A34" s="171">
        <v>10</v>
      </c>
      <c r="B34" s="185" t="s">
        <v>182</v>
      </c>
      <c r="C34" s="182">
        <v>2022</v>
      </c>
      <c r="D34" s="182">
        <v>2025</v>
      </c>
      <c r="E34" s="226" t="s">
        <v>181</v>
      </c>
      <c r="F34" s="175">
        <v>110000</v>
      </c>
      <c r="G34" s="175">
        <v>85000</v>
      </c>
      <c r="H34" s="175"/>
      <c r="I34" s="175">
        <v>85000</v>
      </c>
      <c r="J34" s="175"/>
      <c r="K34" s="175"/>
      <c r="L34" s="175">
        <v>973</v>
      </c>
      <c r="M34" s="175"/>
      <c r="N34" s="175"/>
      <c r="O34" s="175">
        <v>748.657</v>
      </c>
      <c r="P34" s="175">
        <f t="shared" si="15"/>
        <v>973</v>
      </c>
      <c r="Q34" s="175">
        <f t="shared" si="16"/>
        <v>973</v>
      </c>
      <c r="R34" s="175">
        <f>25000+T34</f>
        <v>37000</v>
      </c>
      <c r="S34" s="175"/>
      <c r="T34" s="175">
        <v>12000</v>
      </c>
      <c r="U34" s="175">
        <v>37000</v>
      </c>
      <c r="V34" s="175"/>
      <c r="W34" s="175"/>
      <c r="X34" s="186">
        <f t="shared" si="4"/>
        <v>37973</v>
      </c>
      <c r="Y34" s="186">
        <f t="shared" si="6"/>
        <v>37973</v>
      </c>
      <c r="Z34" s="186">
        <f>749+224+25140</f>
        <v>26113</v>
      </c>
      <c r="AA34" s="175">
        <f t="shared" si="13"/>
        <v>47027</v>
      </c>
      <c r="AB34" s="175">
        <f t="shared" si="14"/>
        <v>0</v>
      </c>
      <c r="AC34" s="175">
        <v>24000</v>
      </c>
      <c r="AD34" s="175"/>
      <c r="AE34" s="175"/>
      <c r="AF34" s="245">
        <f t="shared" si="17"/>
        <v>0.7290941176470588</v>
      </c>
      <c r="AG34" s="131" t="s">
        <v>85</v>
      </c>
      <c r="AH34" s="190"/>
    </row>
    <row r="35" spans="1:34" ht="31.5" customHeight="1">
      <c r="A35" s="171">
        <v>11</v>
      </c>
      <c r="B35" s="185" t="s">
        <v>86</v>
      </c>
      <c r="C35" s="182">
        <v>2022</v>
      </c>
      <c r="D35" s="182">
        <v>2025</v>
      </c>
      <c r="E35" s="226" t="s">
        <v>184</v>
      </c>
      <c r="F35" s="175">
        <v>110000</v>
      </c>
      <c r="G35" s="175">
        <v>95000</v>
      </c>
      <c r="H35" s="175"/>
      <c r="I35" s="175">
        <v>95000</v>
      </c>
      <c r="J35" s="175"/>
      <c r="K35" s="175"/>
      <c r="L35" s="175">
        <v>595</v>
      </c>
      <c r="M35" s="175"/>
      <c r="N35" s="175"/>
      <c r="O35" s="175">
        <v>520.754</v>
      </c>
      <c r="P35" s="175">
        <f t="shared" si="15"/>
        <v>595</v>
      </c>
      <c r="Q35" s="175">
        <f t="shared" si="16"/>
        <v>595</v>
      </c>
      <c r="R35" s="175">
        <f>28000-27000+T35</f>
        <v>23000</v>
      </c>
      <c r="S35" s="175"/>
      <c r="T35" s="175">
        <f>25000-3000</f>
        <v>22000</v>
      </c>
      <c r="U35" s="175">
        <v>8939</v>
      </c>
      <c r="V35" s="175">
        <f>R35-U35</f>
        <v>14061</v>
      </c>
      <c r="W35" s="175"/>
      <c r="X35" s="186">
        <f t="shared" si="4"/>
        <v>23595</v>
      </c>
      <c r="Y35" s="186">
        <f t="shared" si="6"/>
        <v>23595</v>
      </c>
      <c r="Z35" s="186">
        <f>521+74+911</f>
        <v>1506</v>
      </c>
      <c r="AA35" s="175">
        <f t="shared" si="13"/>
        <v>71405</v>
      </c>
      <c r="AB35" s="175">
        <f t="shared" si="14"/>
        <v>0</v>
      </c>
      <c r="AC35" s="175">
        <v>40000</v>
      </c>
      <c r="AD35" s="175"/>
      <c r="AE35" s="175"/>
      <c r="AF35" s="245">
        <f t="shared" si="17"/>
        <v>0.6694210526315789</v>
      </c>
      <c r="AG35" s="131" t="s">
        <v>87</v>
      </c>
      <c r="AH35" s="190"/>
    </row>
    <row r="36" spans="1:34" ht="31.5" customHeight="1">
      <c r="A36" s="171">
        <v>12</v>
      </c>
      <c r="B36" s="185" t="s">
        <v>88</v>
      </c>
      <c r="C36" s="182">
        <v>2022</v>
      </c>
      <c r="D36" s="182">
        <v>2025</v>
      </c>
      <c r="E36" s="226" t="s">
        <v>178</v>
      </c>
      <c r="F36" s="175">
        <v>90000</v>
      </c>
      <c r="G36" s="175">
        <v>81000</v>
      </c>
      <c r="H36" s="175"/>
      <c r="I36" s="175">
        <v>81000</v>
      </c>
      <c r="J36" s="175"/>
      <c r="K36" s="175"/>
      <c r="L36" s="175">
        <v>705</v>
      </c>
      <c r="M36" s="175"/>
      <c r="N36" s="175"/>
      <c r="O36" s="175">
        <v>443</v>
      </c>
      <c r="P36" s="175">
        <f t="shared" si="15"/>
        <v>705</v>
      </c>
      <c r="Q36" s="175">
        <f t="shared" si="16"/>
        <v>705</v>
      </c>
      <c r="R36" s="175">
        <f>24000+T36</f>
        <v>44000</v>
      </c>
      <c r="S36" s="175"/>
      <c r="T36" s="175">
        <f>20000</f>
        <v>20000</v>
      </c>
      <c r="U36" s="175">
        <v>44000</v>
      </c>
      <c r="V36" s="175"/>
      <c r="W36" s="175"/>
      <c r="X36" s="186">
        <f t="shared" si="4"/>
        <v>44705</v>
      </c>
      <c r="Y36" s="186">
        <f t="shared" si="6"/>
        <v>44705</v>
      </c>
      <c r="Z36" s="186">
        <f>443+262+36406</f>
        <v>37111</v>
      </c>
      <c r="AA36" s="175">
        <f t="shared" si="13"/>
        <v>36295</v>
      </c>
      <c r="AB36" s="175">
        <f t="shared" si="14"/>
        <v>0</v>
      </c>
      <c r="AC36" s="175">
        <v>12000</v>
      </c>
      <c r="AD36" s="175"/>
      <c r="AE36" s="175"/>
      <c r="AF36" s="245">
        <f t="shared" si="17"/>
        <v>0.7000617283950618</v>
      </c>
      <c r="AG36" s="131" t="s">
        <v>89</v>
      </c>
      <c r="AH36" s="190"/>
    </row>
    <row r="37" spans="1:34" ht="31.5" customHeight="1">
      <c r="A37" s="171">
        <v>13</v>
      </c>
      <c r="B37" s="185" t="s">
        <v>90</v>
      </c>
      <c r="C37" s="182">
        <v>2021</v>
      </c>
      <c r="D37" s="182">
        <v>2024</v>
      </c>
      <c r="E37" s="226" t="s">
        <v>175</v>
      </c>
      <c r="F37" s="175">
        <v>87000</v>
      </c>
      <c r="G37" s="175">
        <v>72000</v>
      </c>
      <c r="H37" s="175"/>
      <c r="I37" s="175">
        <v>72000</v>
      </c>
      <c r="J37" s="175"/>
      <c r="K37" s="175"/>
      <c r="L37" s="175">
        <v>1946</v>
      </c>
      <c r="M37" s="175"/>
      <c r="N37" s="175"/>
      <c r="O37" s="175">
        <v>1547</v>
      </c>
      <c r="P37" s="175">
        <f t="shared" si="15"/>
        <v>1946</v>
      </c>
      <c r="Q37" s="175">
        <f t="shared" si="16"/>
        <v>1946</v>
      </c>
      <c r="R37" s="175">
        <v>36000</v>
      </c>
      <c r="S37" s="175"/>
      <c r="T37" s="175"/>
      <c r="U37" s="175">
        <v>36000</v>
      </c>
      <c r="V37" s="175"/>
      <c r="W37" s="175"/>
      <c r="X37" s="186">
        <f t="shared" si="4"/>
        <v>37946</v>
      </c>
      <c r="Y37" s="186">
        <f t="shared" si="6"/>
        <v>37946</v>
      </c>
      <c r="Z37" s="186">
        <f>1547+399+6667</f>
        <v>8613</v>
      </c>
      <c r="AA37" s="175">
        <f t="shared" si="13"/>
        <v>34054</v>
      </c>
      <c r="AB37" s="175">
        <f t="shared" si="14"/>
        <v>0</v>
      </c>
      <c r="AC37" s="175">
        <v>16000</v>
      </c>
      <c r="AD37" s="175"/>
      <c r="AE37" s="175"/>
      <c r="AF37" s="245">
        <f t="shared" si="17"/>
        <v>0.74925</v>
      </c>
      <c r="AG37" s="131" t="s">
        <v>70</v>
      </c>
      <c r="AH37" s="190"/>
    </row>
    <row r="38" spans="1:34" ht="31.5" customHeight="1">
      <c r="A38" s="171">
        <v>14</v>
      </c>
      <c r="B38" s="185" t="s">
        <v>91</v>
      </c>
      <c r="C38" s="182">
        <v>2022</v>
      </c>
      <c r="D38" s="182">
        <v>2025</v>
      </c>
      <c r="E38" s="226" t="s">
        <v>176</v>
      </c>
      <c r="F38" s="175">
        <v>123800</v>
      </c>
      <c r="G38" s="175">
        <v>76000</v>
      </c>
      <c r="H38" s="175"/>
      <c r="I38" s="175">
        <v>76000</v>
      </c>
      <c r="J38" s="175"/>
      <c r="K38" s="175"/>
      <c r="L38" s="175">
        <v>2500</v>
      </c>
      <c r="M38" s="175"/>
      <c r="N38" s="175"/>
      <c r="O38" s="175">
        <v>492.075559</v>
      </c>
      <c r="P38" s="175">
        <f t="shared" si="15"/>
        <v>2500</v>
      </c>
      <c r="Q38" s="175">
        <f t="shared" si="16"/>
        <v>2500</v>
      </c>
      <c r="R38" s="175">
        <f>20000+T38</f>
        <v>51000</v>
      </c>
      <c r="S38" s="175"/>
      <c r="T38" s="175">
        <f>28000+3000</f>
        <v>31000</v>
      </c>
      <c r="U38" s="175">
        <v>51000</v>
      </c>
      <c r="V38" s="175"/>
      <c r="W38" s="175"/>
      <c r="X38" s="186">
        <f t="shared" si="4"/>
        <v>53500</v>
      </c>
      <c r="Y38" s="186">
        <f t="shared" si="6"/>
        <v>53500</v>
      </c>
      <c r="Z38" s="186">
        <f>492+2008+47504</f>
        <v>50004</v>
      </c>
      <c r="AA38" s="175">
        <f t="shared" si="13"/>
        <v>22500</v>
      </c>
      <c r="AB38" s="175">
        <f t="shared" si="14"/>
        <v>0</v>
      </c>
      <c r="AC38" s="175">
        <v>5000</v>
      </c>
      <c r="AD38" s="175"/>
      <c r="AE38" s="175"/>
      <c r="AF38" s="245">
        <f t="shared" si="17"/>
        <v>0.7697368421052632</v>
      </c>
      <c r="AG38" s="131" t="s">
        <v>92</v>
      </c>
      <c r="AH38" s="190"/>
    </row>
    <row r="39" spans="1:34" ht="31.5" customHeight="1">
      <c r="A39" s="171">
        <v>15</v>
      </c>
      <c r="B39" s="185" t="s">
        <v>93</v>
      </c>
      <c r="C39" s="182">
        <v>2022</v>
      </c>
      <c r="D39" s="182">
        <v>2025</v>
      </c>
      <c r="E39" s="226" t="s">
        <v>183</v>
      </c>
      <c r="F39" s="175">
        <v>172000</v>
      </c>
      <c r="G39" s="175">
        <v>90000</v>
      </c>
      <c r="H39" s="175"/>
      <c r="I39" s="175">
        <v>90000</v>
      </c>
      <c r="J39" s="175"/>
      <c r="K39" s="175"/>
      <c r="L39" s="175">
        <v>3868</v>
      </c>
      <c r="M39" s="175"/>
      <c r="N39" s="175"/>
      <c r="O39" s="175">
        <v>1677.319</v>
      </c>
      <c r="P39" s="175">
        <f t="shared" si="15"/>
        <v>3868</v>
      </c>
      <c r="Q39" s="175">
        <f t="shared" si="16"/>
        <v>3868</v>
      </c>
      <c r="R39" s="175">
        <f>23000+63000</f>
        <v>86000</v>
      </c>
      <c r="S39" s="175"/>
      <c r="T39" s="175"/>
      <c r="U39" s="175">
        <v>86000</v>
      </c>
      <c r="V39" s="175"/>
      <c r="W39" s="175"/>
      <c r="X39" s="186">
        <f t="shared" si="4"/>
        <v>89868</v>
      </c>
      <c r="Y39" s="186">
        <f aca="true" t="shared" si="18" ref="Y39:Y51">L39+R39</f>
        <v>89868</v>
      </c>
      <c r="Z39" s="186">
        <f>1677+2191+66838</f>
        <v>70706</v>
      </c>
      <c r="AA39" s="175">
        <f t="shared" si="13"/>
        <v>132</v>
      </c>
      <c r="AB39" s="175">
        <f t="shared" si="14"/>
        <v>0</v>
      </c>
      <c r="AC39" s="175">
        <v>132</v>
      </c>
      <c r="AD39" s="175"/>
      <c r="AE39" s="175"/>
      <c r="AF39" s="245">
        <f t="shared" si="17"/>
        <v>1</v>
      </c>
      <c r="AG39" s="131" t="s">
        <v>94</v>
      </c>
      <c r="AH39" s="190"/>
    </row>
    <row r="40" spans="1:34" ht="15.75" customHeight="1">
      <c r="A40" s="181" t="s">
        <v>75</v>
      </c>
      <c r="B40" s="179" t="s">
        <v>96</v>
      </c>
      <c r="C40" s="244"/>
      <c r="D40" s="244"/>
      <c r="E40" s="219"/>
      <c r="F40" s="221">
        <f aca="true" t="shared" si="19" ref="F40:AE40">SUM(F42:F43)</f>
        <v>624000</v>
      </c>
      <c r="G40" s="221">
        <f t="shared" si="19"/>
        <v>624000</v>
      </c>
      <c r="H40" s="221">
        <f t="shared" si="19"/>
        <v>0</v>
      </c>
      <c r="I40" s="221">
        <f>SUM(I42:I43)</f>
        <v>624000</v>
      </c>
      <c r="J40" s="221">
        <f>SUM(J42:J43)</f>
        <v>0</v>
      </c>
      <c r="K40" s="221">
        <f>SUM(K42:K43)</f>
        <v>0</v>
      </c>
      <c r="L40" s="221">
        <f t="shared" si="19"/>
        <v>8125</v>
      </c>
      <c r="M40" s="221">
        <f t="shared" si="19"/>
        <v>0</v>
      </c>
      <c r="N40" s="221">
        <f t="shared" si="19"/>
        <v>0</v>
      </c>
      <c r="O40" s="221">
        <f t="shared" si="19"/>
        <v>6483.245000000001</v>
      </c>
      <c r="P40" s="221">
        <f t="shared" si="19"/>
        <v>8125</v>
      </c>
      <c r="Q40" s="221">
        <f t="shared" si="19"/>
        <v>8125</v>
      </c>
      <c r="R40" s="221">
        <f t="shared" si="19"/>
        <v>236019</v>
      </c>
      <c r="S40" s="221">
        <f t="shared" si="19"/>
        <v>0</v>
      </c>
      <c r="T40" s="221">
        <f t="shared" si="19"/>
        <v>0</v>
      </c>
      <c r="U40" s="221">
        <f t="shared" si="19"/>
        <v>236019</v>
      </c>
      <c r="V40" s="221">
        <f t="shared" si="19"/>
        <v>0</v>
      </c>
      <c r="W40" s="221">
        <f t="shared" si="19"/>
        <v>0</v>
      </c>
      <c r="X40" s="221">
        <f t="shared" si="4"/>
        <v>244144</v>
      </c>
      <c r="Y40" s="221">
        <f t="shared" si="18"/>
        <v>244144</v>
      </c>
      <c r="Z40" s="221">
        <f t="shared" si="19"/>
        <v>176488</v>
      </c>
      <c r="AA40" s="221">
        <f t="shared" si="19"/>
        <v>379856</v>
      </c>
      <c r="AB40" s="221">
        <f t="shared" si="19"/>
        <v>0</v>
      </c>
      <c r="AC40" s="221">
        <f t="shared" si="19"/>
        <v>318188</v>
      </c>
      <c r="AD40" s="221">
        <f t="shared" si="19"/>
        <v>0</v>
      </c>
      <c r="AE40" s="221">
        <f t="shared" si="19"/>
        <v>0</v>
      </c>
      <c r="AF40" s="222"/>
      <c r="AG40" s="246"/>
      <c r="AH40" s="190"/>
    </row>
    <row r="41" spans="1:34" ht="33">
      <c r="A41" s="181"/>
      <c r="B41" s="231" t="s">
        <v>167</v>
      </c>
      <c r="C41" s="232"/>
      <c r="D41" s="232"/>
      <c r="E41" s="233"/>
      <c r="F41" s="234"/>
      <c r="G41" s="234"/>
      <c r="H41" s="234"/>
      <c r="I41" s="234"/>
      <c r="J41" s="234"/>
      <c r="K41" s="175"/>
      <c r="L41" s="235"/>
      <c r="M41" s="235"/>
      <c r="N41" s="235"/>
      <c r="O41" s="235"/>
      <c r="P41" s="175"/>
      <c r="Q41" s="175"/>
      <c r="R41" s="175"/>
      <c r="S41" s="175"/>
      <c r="T41" s="175"/>
      <c r="U41" s="175"/>
      <c r="V41" s="175"/>
      <c r="W41" s="175"/>
      <c r="X41" s="221">
        <f t="shared" si="4"/>
        <v>0</v>
      </c>
      <c r="Y41" s="186">
        <f t="shared" si="18"/>
        <v>0</v>
      </c>
      <c r="Z41" s="186"/>
      <c r="AA41" s="175"/>
      <c r="AB41" s="175"/>
      <c r="AC41" s="175"/>
      <c r="AD41" s="175"/>
      <c r="AE41" s="175"/>
      <c r="AF41" s="176"/>
      <c r="AG41" s="233"/>
      <c r="AH41" s="190"/>
    </row>
    <row r="42" spans="1:34" ht="62.25">
      <c r="A42" s="171">
        <v>16</v>
      </c>
      <c r="B42" s="185" t="s">
        <v>97</v>
      </c>
      <c r="C42" s="182">
        <v>2021</v>
      </c>
      <c r="D42" s="182">
        <v>2024</v>
      </c>
      <c r="E42" s="226" t="s">
        <v>113</v>
      </c>
      <c r="F42" s="175">
        <v>439000</v>
      </c>
      <c r="G42" s="175">
        <f>F42</f>
        <v>439000</v>
      </c>
      <c r="H42" s="175"/>
      <c r="I42" s="175">
        <v>439000</v>
      </c>
      <c r="J42" s="175"/>
      <c r="K42" s="175"/>
      <c r="L42" s="175">
        <v>5033</v>
      </c>
      <c r="M42" s="175"/>
      <c r="N42" s="175"/>
      <c r="O42" s="175">
        <v>4398.5470000000005</v>
      </c>
      <c r="P42" s="175">
        <f>H42+L42</f>
        <v>5033</v>
      </c>
      <c r="Q42" s="175">
        <f>P42</f>
        <v>5033</v>
      </c>
      <c r="R42" s="175">
        <f>171019+27000</f>
        <v>198019</v>
      </c>
      <c r="S42" s="175"/>
      <c r="T42" s="175"/>
      <c r="U42" s="175">
        <v>198019</v>
      </c>
      <c r="V42" s="175"/>
      <c r="W42" s="175"/>
      <c r="X42" s="186">
        <f t="shared" si="4"/>
        <v>203052</v>
      </c>
      <c r="Y42" s="186">
        <f t="shared" si="18"/>
        <v>203052</v>
      </c>
      <c r="Z42" s="186">
        <f>4399+167359</f>
        <v>171758</v>
      </c>
      <c r="AA42" s="175">
        <f>I42-L42-R42</f>
        <v>235948</v>
      </c>
      <c r="AB42" s="175">
        <f>J42-M42-S42</f>
        <v>0</v>
      </c>
      <c r="AC42" s="175">
        <v>198000</v>
      </c>
      <c r="AD42" s="175"/>
      <c r="AE42" s="175"/>
      <c r="AF42" s="245">
        <f>(AC42+R42+Q42)/G42</f>
        <v>0.9135580865603644</v>
      </c>
      <c r="AG42" s="131" t="s">
        <v>62</v>
      </c>
      <c r="AH42" s="190"/>
    </row>
    <row r="43" spans="1:34" ht="62.25">
      <c r="A43" s="171">
        <v>17</v>
      </c>
      <c r="B43" s="185" t="s">
        <v>98</v>
      </c>
      <c r="C43" s="182">
        <v>2021</v>
      </c>
      <c r="D43" s="182">
        <v>2024</v>
      </c>
      <c r="E43" s="226" t="s">
        <v>207</v>
      </c>
      <c r="F43" s="175">
        <v>185000</v>
      </c>
      <c r="G43" s="175">
        <f>F43</f>
        <v>185000</v>
      </c>
      <c r="H43" s="175"/>
      <c r="I43" s="175">
        <v>185000</v>
      </c>
      <c r="J43" s="175"/>
      <c r="K43" s="175"/>
      <c r="L43" s="175">
        <v>3092</v>
      </c>
      <c r="M43" s="175"/>
      <c r="N43" s="175"/>
      <c r="O43" s="175">
        <v>2084.698</v>
      </c>
      <c r="P43" s="175">
        <f>H43+L43</f>
        <v>3092</v>
      </c>
      <c r="Q43" s="175">
        <f>P43</f>
        <v>3092</v>
      </c>
      <c r="R43" s="175">
        <v>38000</v>
      </c>
      <c r="S43" s="175"/>
      <c r="T43" s="175"/>
      <c r="U43" s="175">
        <v>38000</v>
      </c>
      <c r="V43" s="175"/>
      <c r="W43" s="175"/>
      <c r="X43" s="186">
        <f t="shared" si="4"/>
        <v>41092</v>
      </c>
      <c r="Y43" s="186">
        <f t="shared" si="18"/>
        <v>41092</v>
      </c>
      <c r="Z43" s="186">
        <f>2085+2645</f>
        <v>4730</v>
      </c>
      <c r="AA43" s="175">
        <f>I43-L43-R43</f>
        <v>143908</v>
      </c>
      <c r="AB43" s="175">
        <f>J43-M43-S43</f>
        <v>0</v>
      </c>
      <c r="AC43" s="175">
        <v>120188</v>
      </c>
      <c r="AD43" s="175"/>
      <c r="AE43" s="175"/>
      <c r="AF43" s="245">
        <f>(AC43+R43+Q43)/G43</f>
        <v>0.8717837837837837</v>
      </c>
      <c r="AG43" s="131" t="s">
        <v>62</v>
      </c>
      <c r="AH43" s="190"/>
    </row>
    <row r="44" spans="1:34" ht="15.75" customHeight="1">
      <c r="A44" s="181" t="s">
        <v>80</v>
      </c>
      <c r="B44" s="179" t="s">
        <v>99</v>
      </c>
      <c r="C44" s="244"/>
      <c r="D44" s="244"/>
      <c r="E44" s="219"/>
      <c r="F44" s="221">
        <f>F46</f>
        <v>45800</v>
      </c>
      <c r="G44" s="221">
        <f aca="true" t="shared" si="20" ref="G44:AE44">G46</f>
        <v>45800</v>
      </c>
      <c r="H44" s="221">
        <f t="shared" si="20"/>
        <v>0</v>
      </c>
      <c r="I44" s="221">
        <f>I46</f>
        <v>45800</v>
      </c>
      <c r="J44" s="221">
        <f>J46</f>
        <v>0</v>
      </c>
      <c r="K44" s="221">
        <f>K46</f>
        <v>0</v>
      </c>
      <c r="L44" s="221">
        <f t="shared" si="20"/>
        <v>302</v>
      </c>
      <c r="M44" s="221">
        <f t="shared" si="20"/>
        <v>0</v>
      </c>
      <c r="N44" s="221">
        <f t="shared" si="20"/>
        <v>0</v>
      </c>
      <c r="O44" s="221">
        <f t="shared" si="20"/>
        <v>302</v>
      </c>
      <c r="P44" s="221">
        <f t="shared" si="20"/>
        <v>302</v>
      </c>
      <c r="Q44" s="221">
        <f t="shared" si="20"/>
        <v>302</v>
      </c>
      <c r="R44" s="221">
        <f t="shared" si="20"/>
        <v>10000</v>
      </c>
      <c r="S44" s="221">
        <f t="shared" si="20"/>
        <v>0</v>
      </c>
      <c r="T44" s="221">
        <f t="shared" si="20"/>
        <v>0</v>
      </c>
      <c r="U44" s="221">
        <f t="shared" si="20"/>
        <v>0</v>
      </c>
      <c r="V44" s="221">
        <f t="shared" si="20"/>
        <v>10000</v>
      </c>
      <c r="W44" s="221">
        <f t="shared" si="20"/>
        <v>10000</v>
      </c>
      <c r="X44" s="221">
        <f t="shared" si="4"/>
        <v>10302</v>
      </c>
      <c r="Y44" s="221">
        <f t="shared" si="18"/>
        <v>10302</v>
      </c>
      <c r="Z44" s="221">
        <f t="shared" si="20"/>
        <v>302</v>
      </c>
      <c r="AA44" s="221">
        <f t="shared" si="20"/>
        <v>35498</v>
      </c>
      <c r="AB44" s="221">
        <f t="shared" si="20"/>
        <v>0</v>
      </c>
      <c r="AC44" s="221">
        <f t="shared" si="20"/>
        <v>35498</v>
      </c>
      <c r="AD44" s="221">
        <f t="shared" si="20"/>
        <v>0</v>
      </c>
      <c r="AE44" s="221">
        <f t="shared" si="20"/>
        <v>0</v>
      </c>
      <c r="AF44" s="221"/>
      <c r="AG44" s="246"/>
      <c r="AH44" s="190"/>
    </row>
    <row r="45" spans="1:34" ht="33">
      <c r="A45" s="181"/>
      <c r="B45" s="231" t="s">
        <v>167</v>
      </c>
      <c r="C45" s="232"/>
      <c r="D45" s="232"/>
      <c r="E45" s="228"/>
      <c r="F45" s="229"/>
      <c r="G45" s="229"/>
      <c r="H45" s="229"/>
      <c r="I45" s="229"/>
      <c r="J45" s="229"/>
      <c r="K45" s="175"/>
      <c r="L45" s="230"/>
      <c r="M45" s="230"/>
      <c r="N45" s="230"/>
      <c r="O45" s="230"/>
      <c r="P45" s="175"/>
      <c r="Q45" s="175"/>
      <c r="R45" s="175"/>
      <c r="S45" s="175"/>
      <c r="T45" s="175"/>
      <c r="U45" s="175"/>
      <c r="V45" s="175"/>
      <c r="W45" s="175"/>
      <c r="X45" s="221">
        <f t="shared" si="4"/>
        <v>0</v>
      </c>
      <c r="Y45" s="186">
        <f t="shared" si="18"/>
        <v>0</v>
      </c>
      <c r="Z45" s="186"/>
      <c r="AA45" s="175"/>
      <c r="AB45" s="175"/>
      <c r="AC45" s="175"/>
      <c r="AD45" s="175"/>
      <c r="AE45" s="175"/>
      <c r="AF45" s="176"/>
      <c r="AG45" s="228"/>
      <c r="AH45" s="190"/>
    </row>
    <row r="46" spans="1:34" ht="47.25" customHeight="1">
      <c r="A46" s="171">
        <v>18</v>
      </c>
      <c r="B46" s="185" t="s">
        <v>100</v>
      </c>
      <c r="C46" s="182">
        <v>2021</v>
      </c>
      <c r="D46" s="182">
        <v>2023</v>
      </c>
      <c r="E46" s="226" t="s">
        <v>174</v>
      </c>
      <c r="F46" s="175">
        <v>45800</v>
      </c>
      <c r="G46" s="175">
        <v>45800</v>
      </c>
      <c r="H46" s="175"/>
      <c r="I46" s="175">
        <v>45800</v>
      </c>
      <c r="J46" s="175"/>
      <c r="K46" s="175"/>
      <c r="L46" s="175">
        <v>302</v>
      </c>
      <c r="M46" s="175"/>
      <c r="N46" s="175"/>
      <c r="O46" s="175">
        <v>302</v>
      </c>
      <c r="P46" s="175">
        <f>H46+L46</f>
        <v>302</v>
      </c>
      <c r="Q46" s="175">
        <f>P46</f>
        <v>302</v>
      </c>
      <c r="R46" s="175">
        <v>10000</v>
      </c>
      <c r="S46" s="175"/>
      <c r="T46" s="175"/>
      <c r="U46" s="175">
        <v>0</v>
      </c>
      <c r="V46" s="175">
        <f>R46-U46</f>
        <v>10000</v>
      </c>
      <c r="W46" s="175">
        <v>10000</v>
      </c>
      <c r="X46" s="186">
        <f t="shared" si="4"/>
        <v>10302</v>
      </c>
      <c r="Y46" s="186">
        <f t="shared" si="18"/>
        <v>10302</v>
      </c>
      <c r="Z46" s="186">
        <v>302</v>
      </c>
      <c r="AA46" s="175">
        <f>I46-L46-R46</f>
        <v>35498</v>
      </c>
      <c r="AB46" s="175">
        <f>J46-M46-S46</f>
        <v>0</v>
      </c>
      <c r="AC46" s="175">
        <v>35498</v>
      </c>
      <c r="AD46" s="175"/>
      <c r="AE46" s="175"/>
      <c r="AF46" s="245">
        <f>(AC46+R46+Q46)/G46</f>
        <v>1</v>
      </c>
      <c r="AG46" s="131" t="s">
        <v>106</v>
      </c>
      <c r="AH46" s="190"/>
    </row>
    <row r="47" spans="1:34" s="198" customFormat="1" ht="47.25" customHeight="1">
      <c r="A47" s="181" t="s">
        <v>95</v>
      </c>
      <c r="B47" s="179" t="s">
        <v>101</v>
      </c>
      <c r="C47" s="244"/>
      <c r="D47" s="244"/>
      <c r="E47" s="219"/>
      <c r="F47" s="221">
        <v>3168316</v>
      </c>
      <c r="G47" s="221">
        <v>410906</v>
      </c>
      <c r="H47" s="221">
        <v>67919</v>
      </c>
      <c r="I47" s="178">
        <v>111933</v>
      </c>
      <c r="J47" s="178"/>
      <c r="K47" s="178"/>
      <c r="L47" s="178">
        <v>88620</v>
      </c>
      <c r="M47" s="178"/>
      <c r="N47" s="178"/>
      <c r="O47" s="178">
        <v>88620</v>
      </c>
      <c r="P47" s="178">
        <v>156539</v>
      </c>
      <c r="Q47" s="178">
        <v>156539</v>
      </c>
      <c r="R47" s="178">
        <v>23313</v>
      </c>
      <c r="S47" s="178"/>
      <c r="T47" s="178"/>
      <c r="U47" s="178">
        <v>23313</v>
      </c>
      <c r="V47" s="178"/>
      <c r="W47" s="178"/>
      <c r="X47" s="221">
        <f t="shared" si="4"/>
        <v>179852</v>
      </c>
      <c r="Y47" s="221">
        <f t="shared" si="18"/>
        <v>111933</v>
      </c>
      <c r="Z47" s="221">
        <f>88620+23313</f>
        <v>111933</v>
      </c>
      <c r="AA47" s="178"/>
      <c r="AB47" s="178"/>
      <c r="AC47" s="178"/>
      <c r="AD47" s="178"/>
      <c r="AE47" s="178"/>
      <c r="AF47" s="247"/>
      <c r="AG47" s="246"/>
      <c r="AH47" s="248"/>
    </row>
    <row r="48" spans="1:34" s="198" customFormat="1" ht="51.75">
      <c r="A48" s="248" t="s">
        <v>157</v>
      </c>
      <c r="B48" s="216" t="s">
        <v>220</v>
      </c>
      <c r="C48" s="248"/>
      <c r="D48" s="248"/>
      <c r="E48" s="248"/>
      <c r="F48" s="178"/>
      <c r="G48" s="178">
        <f>SUM(G49:G51)</f>
        <v>2428748</v>
      </c>
      <c r="H48" s="178"/>
      <c r="I48" s="178">
        <f>SUM(I49:I51)</f>
        <v>2428748</v>
      </c>
      <c r="J48" s="178"/>
      <c r="K48" s="178"/>
      <c r="L48" s="178"/>
      <c r="M48" s="178"/>
      <c r="N48" s="178"/>
      <c r="O48" s="178"/>
      <c r="P48" s="178"/>
      <c r="Q48" s="178"/>
      <c r="R48" s="178">
        <f>SUM(R49:R51)</f>
        <v>621467.7</v>
      </c>
      <c r="S48" s="178"/>
      <c r="T48" s="178"/>
      <c r="U48" s="178">
        <f>SUM(U49:U51)</f>
        <v>376745</v>
      </c>
      <c r="V48" s="178"/>
      <c r="W48" s="178"/>
      <c r="X48" s="221">
        <f t="shared" si="4"/>
        <v>621467.7</v>
      </c>
      <c r="Y48" s="221">
        <f t="shared" si="18"/>
        <v>621467.7</v>
      </c>
      <c r="Z48" s="178">
        <f aca="true" t="shared" si="21" ref="Z48:AE48">SUM(Z49:Z51)</f>
        <v>45324</v>
      </c>
      <c r="AA48" s="178">
        <f t="shared" si="21"/>
        <v>1807280.3</v>
      </c>
      <c r="AB48" s="178">
        <f t="shared" si="21"/>
        <v>0</v>
      </c>
      <c r="AC48" s="178">
        <f t="shared" si="21"/>
        <v>597098</v>
      </c>
      <c r="AD48" s="178">
        <f t="shared" si="21"/>
        <v>0</v>
      </c>
      <c r="AE48" s="178">
        <f t="shared" si="21"/>
        <v>0</v>
      </c>
      <c r="AF48" s="206"/>
      <c r="AG48" s="248"/>
      <c r="AH48" s="248"/>
    </row>
    <row r="49" spans="1:34" ht="30.75">
      <c r="A49" s="131">
        <v>1</v>
      </c>
      <c r="B49" s="185" t="s">
        <v>197</v>
      </c>
      <c r="C49" s="190"/>
      <c r="D49" s="190"/>
      <c r="E49" s="190"/>
      <c r="F49" s="175"/>
      <c r="G49" s="217">
        <v>473693</v>
      </c>
      <c r="H49" s="175"/>
      <c r="I49" s="217">
        <v>473693</v>
      </c>
      <c r="J49" s="175"/>
      <c r="K49" s="175"/>
      <c r="L49" s="175"/>
      <c r="M49" s="175"/>
      <c r="N49" s="175"/>
      <c r="O49" s="175"/>
      <c r="P49" s="175"/>
      <c r="Q49" s="175"/>
      <c r="R49" s="217">
        <v>157301.7</v>
      </c>
      <c r="S49" s="175"/>
      <c r="T49" s="175"/>
      <c r="U49" s="14">
        <f>70307+2068</f>
        <v>72375</v>
      </c>
      <c r="V49" s="175"/>
      <c r="W49" s="175"/>
      <c r="X49" s="186">
        <f t="shared" si="4"/>
        <v>157301.7</v>
      </c>
      <c r="Y49" s="186">
        <f t="shared" si="18"/>
        <v>157301.7</v>
      </c>
      <c r="Z49" s="186">
        <f>1966+16</f>
        <v>1982</v>
      </c>
      <c r="AA49" s="175">
        <f>I49-L49-R49</f>
        <v>316391.3</v>
      </c>
      <c r="AB49" s="175"/>
      <c r="AC49" s="175">
        <v>105463</v>
      </c>
      <c r="AD49" s="175"/>
      <c r="AE49" s="175"/>
      <c r="AF49" s="245">
        <f>(AC49+R49+Q49)/G49</f>
        <v>0.55471518472935</v>
      </c>
      <c r="AG49" s="190"/>
      <c r="AH49" s="190"/>
    </row>
    <row r="50" spans="1:34" ht="46.5">
      <c r="A50" s="131">
        <v>2</v>
      </c>
      <c r="B50" s="185" t="s">
        <v>199</v>
      </c>
      <c r="C50" s="190"/>
      <c r="D50" s="190"/>
      <c r="E50" s="190"/>
      <c r="F50" s="175"/>
      <c r="G50" s="217">
        <v>1560785</v>
      </c>
      <c r="H50" s="175"/>
      <c r="I50" s="217">
        <v>1560785</v>
      </c>
      <c r="J50" s="175"/>
      <c r="K50" s="175"/>
      <c r="L50" s="175"/>
      <c r="M50" s="175"/>
      <c r="N50" s="175"/>
      <c r="O50" s="175"/>
      <c r="P50" s="175"/>
      <c r="Q50" s="175"/>
      <c r="R50" s="217">
        <v>300876</v>
      </c>
      <c r="S50" s="175"/>
      <c r="T50" s="175"/>
      <c r="U50" s="14">
        <f>96339+116971-2068</f>
        <v>211242</v>
      </c>
      <c r="V50" s="175"/>
      <c r="W50" s="175"/>
      <c r="X50" s="186">
        <f t="shared" si="4"/>
        <v>300876</v>
      </c>
      <c r="Y50" s="186">
        <f t="shared" si="18"/>
        <v>300876</v>
      </c>
      <c r="Z50" s="186">
        <f>12959+26064-162</f>
        <v>38861</v>
      </c>
      <c r="AA50" s="175">
        <f>I50-L50-R50</f>
        <v>1259909</v>
      </c>
      <c r="AB50" s="175"/>
      <c r="AC50" s="175">
        <v>395135</v>
      </c>
      <c r="AD50" s="175"/>
      <c r="AE50" s="175"/>
      <c r="AF50" s="245">
        <f>(AC50+R50+Q50)/G50</f>
        <v>0.4459364999022928</v>
      </c>
      <c r="AG50" s="190"/>
      <c r="AH50" s="190"/>
    </row>
    <row r="51" spans="1:34" ht="30.75">
      <c r="A51" s="131">
        <v>3</v>
      </c>
      <c r="B51" s="185" t="s">
        <v>202</v>
      </c>
      <c r="C51" s="190"/>
      <c r="D51" s="190"/>
      <c r="E51" s="190"/>
      <c r="F51" s="175"/>
      <c r="G51" s="217">
        <v>394270</v>
      </c>
      <c r="H51" s="175"/>
      <c r="I51" s="217">
        <v>394270</v>
      </c>
      <c r="J51" s="175"/>
      <c r="K51" s="175"/>
      <c r="L51" s="175"/>
      <c r="M51" s="175"/>
      <c r="N51" s="175"/>
      <c r="O51" s="175"/>
      <c r="P51" s="175"/>
      <c r="Q51" s="175"/>
      <c r="R51" s="217">
        <v>163290</v>
      </c>
      <c r="S51" s="175"/>
      <c r="T51" s="175"/>
      <c r="U51" s="14">
        <v>93128</v>
      </c>
      <c r="V51" s="175"/>
      <c r="W51" s="175"/>
      <c r="X51" s="186">
        <f t="shared" si="4"/>
        <v>163290</v>
      </c>
      <c r="Y51" s="186">
        <f t="shared" si="18"/>
        <v>163290</v>
      </c>
      <c r="Z51" s="186">
        <v>4481</v>
      </c>
      <c r="AA51" s="175">
        <f>I51-L51-R51</f>
        <v>230980</v>
      </c>
      <c r="AB51" s="175"/>
      <c r="AC51" s="175">
        <v>96500</v>
      </c>
      <c r="AD51" s="175"/>
      <c r="AE51" s="175"/>
      <c r="AF51" s="245">
        <f>(AC51+R51+Q51)/G51</f>
        <v>0.6589139422223349</v>
      </c>
      <c r="AG51" s="190"/>
      <c r="AH51" s="190"/>
    </row>
  </sheetData>
  <sheetProtection/>
  <autoFilter ref="A8:AI51"/>
  <mergeCells count="43">
    <mergeCell ref="AE7:AE8"/>
    <mergeCell ref="R4:T6"/>
    <mergeCell ref="T7:T8"/>
    <mergeCell ref="O4:O8"/>
    <mergeCell ref="Q7:Q8"/>
    <mergeCell ref="AH4:AH8"/>
    <mergeCell ref="AG4:AG8"/>
    <mergeCell ref="P7:P8"/>
    <mergeCell ref="AF4:AF8"/>
    <mergeCell ref="R7:R8"/>
    <mergeCell ref="S7:S8"/>
    <mergeCell ref="AB7:AB8"/>
    <mergeCell ref="AA4:AA8"/>
    <mergeCell ref="AC4:AC8"/>
    <mergeCell ref="AD7:AD8"/>
    <mergeCell ref="J7:K7"/>
    <mergeCell ref="L4:N6"/>
    <mergeCell ref="X4:Y5"/>
    <mergeCell ref="X6:X8"/>
    <mergeCell ref="Y6:Y8"/>
    <mergeCell ref="M7:N7"/>
    <mergeCell ref="G7:G8"/>
    <mergeCell ref="F6:G6"/>
    <mergeCell ref="E4:G5"/>
    <mergeCell ref="I4:I8"/>
    <mergeCell ref="L7:L8"/>
    <mergeCell ref="J4:K6"/>
    <mergeCell ref="B4:B8"/>
    <mergeCell ref="F7:F8"/>
    <mergeCell ref="C6:C8"/>
    <mergeCell ref="C4:D5"/>
    <mergeCell ref="E6:E8"/>
    <mergeCell ref="D6:D8"/>
    <mergeCell ref="U4:U8"/>
    <mergeCell ref="V4:V8"/>
    <mergeCell ref="W4:W8"/>
    <mergeCell ref="Z4:Z8"/>
    <mergeCell ref="A1:AH1"/>
    <mergeCell ref="A2:AH2"/>
    <mergeCell ref="L3:AH3"/>
    <mergeCell ref="P4:Q6"/>
    <mergeCell ref="H4:H8"/>
    <mergeCell ref="A4:A8"/>
  </mergeCells>
  <printOptions horizontalCentered="1"/>
  <pageMargins left="0.236220472440945" right="0.15748031496063" top="0.4" bottom="0.59" header="0.31496062992126" footer="0.31496062992126"/>
  <pageSetup firstPageNumber="1" useFirstPageNumber="1" fitToHeight="0" fitToWidth="1" horizontalDpi="600" verticalDpi="600" orientation="landscape" paperSize="9" scale="46" r:id="rId3"/>
  <headerFooter differentFirst="1" scaleWithDoc="0" alignWithMargins="0">
    <oddFooter>&amp;C&amp;P</oddFooter>
  </headerFooter>
  <rowBreaks count="1" manualBreakCount="1">
    <brk id="30" max="27"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AZ304"/>
  <sheetViews>
    <sheetView zoomScale="85" zoomScaleNormal="85" zoomScalePageLayoutView="0" workbookViewId="0" topLeftCell="A1">
      <selection activeCell="M20" sqref="M20"/>
    </sheetView>
  </sheetViews>
  <sheetFormatPr defaultColWidth="9.140625" defaultRowHeight="15"/>
  <cols>
    <col min="1" max="1" width="5.140625" style="258" customWidth="1"/>
    <col min="2" max="2" width="29.28125" style="259" customWidth="1"/>
    <col min="3" max="4" width="8.57421875" style="259" hidden="1" customWidth="1"/>
    <col min="5" max="7" width="8.28125" style="260" hidden="1" customWidth="1"/>
    <col min="8" max="8" width="13.00390625" style="260" customWidth="1"/>
    <col min="9" max="9" width="11.57421875" style="261" customWidth="1"/>
    <col min="10" max="10" width="10.28125" style="261" customWidth="1"/>
    <col min="11" max="11" width="9.7109375" style="261" customWidth="1"/>
    <col min="12" max="12" width="9.28125" style="261" customWidth="1"/>
    <col min="13" max="13" width="11.00390625" style="261" customWidth="1"/>
    <col min="14" max="14" width="10.8515625" style="261" customWidth="1"/>
    <col min="15" max="15" width="9.140625" style="261" customWidth="1"/>
    <col min="16" max="16" width="9.28125" style="261" hidden="1" customWidth="1"/>
    <col min="17" max="17" width="9.00390625" style="261" hidden="1" customWidth="1"/>
    <col min="18" max="18" width="10.28125" style="261" hidden="1" customWidth="1"/>
    <col min="19" max="19" width="9.00390625" style="261" hidden="1" customWidth="1"/>
    <col min="20" max="20" width="9.28125" style="261" hidden="1" customWidth="1"/>
    <col min="21" max="21" width="10.140625" style="261" hidden="1" customWidth="1"/>
    <col min="22" max="22" width="12.00390625" style="261" hidden="1" customWidth="1"/>
    <col min="23" max="23" width="9.28125" style="261" hidden="1" customWidth="1"/>
    <col min="24" max="24" width="11.00390625" style="261" hidden="1" customWidth="1"/>
    <col min="25" max="25" width="11.8515625" style="261" customWidth="1"/>
    <col min="26" max="26" width="10.00390625" style="261" customWidth="1"/>
    <col min="27" max="27" width="11.00390625" style="261" customWidth="1"/>
    <col min="28" max="28" width="9.7109375" style="261" customWidth="1"/>
    <col min="29" max="29" width="11.28125" style="261" customWidth="1"/>
    <col min="30" max="31" width="10.57421875" style="261" customWidth="1"/>
    <col min="32" max="32" width="10.57421875" style="261" hidden="1" customWidth="1"/>
    <col min="33" max="33" width="9.7109375" style="261" hidden="1" customWidth="1"/>
    <col min="34" max="34" width="11.28125" style="261" customWidth="1"/>
    <col min="35" max="35" width="12.421875" style="261" customWidth="1"/>
    <col min="36" max="36" width="7.7109375" style="261" hidden="1" customWidth="1"/>
    <col min="37" max="37" width="11.140625" style="261" hidden="1" customWidth="1"/>
    <col min="38" max="38" width="9.57421875" style="261" hidden="1" customWidth="1"/>
    <col min="39" max="39" width="13.28125" style="261" customWidth="1"/>
    <col min="40" max="40" width="8.00390625" style="261" customWidth="1"/>
    <col min="41" max="16384" width="9.140625" style="251" customWidth="1"/>
  </cols>
  <sheetData>
    <row r="1" spans="1:40" s="250" customFormat="1" ht="20.25">
      <c r="A1" s="394" t="s">
        <v>388</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row>
    <row r="2" spans="1:40" ht="45" customHeight="1">
      <c r="A2" s="394" t="s">
        <v>424</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row>
    <row r="3" spans="1:40" s="252" customFormat="1" ht="30" customHeight="1">
      <c r="A3" s="395" t="s">
        <v>0</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row>
    <row r="4" spans="1:40" s="253" customFormat="1" ht="18">
      <c r="A4" s="396" t="s">
        <v>10</v>
      </c>
      <c r="B4" s="396" t="s">
        <v>6</v>
      </c>
      <c r="C4" s="396" t="s">
        <v>389</v>
      </c>
      <c r="D4" s="396" t="s">
        <v>390</v>
      </c>
      <c r="E4" s="396" t="s">
        <v>19</v>
      </c>
      <c r="F4" s="396" t="s">
        <v>391</v>
      </c>
      <c r="G4" s="396" t="s">
        <v>20</v>
      </c>
      <c r="H4" s="397" t="s">
        <v>11</v>
      </c>
      <c r="I4" s="397"/>
      <c r="J4" s="397"/>
      <c r="K4" s="397"/>
      <c r="L4" s="397"/>
      <c r="M4" s="397"/>
      <c r="N4" s="397"/>
      <c r="O4" s="397"/>
      <c r="P4" s="396" t="s">
        <v>350</v>
      </c>
      <c r="Q4" s="396"/>
      <c r="R4" s="396"/>
      <c r="S4" s="396"/>
      <c r="T4" s="396"/>
      <c r="U4" s="396"/>
      <c r="V4" s="396"/>
      <c r="W4" s="396"/>
      <c r="X4" s="396"/>
      <c r="Y4" s="396" t="s">
        <v>392</v>
      </c>
      <c r="Z4" s="396"/>
      <c r="AA4" s="396"/>
      <c r="AB4" s="396"/>
      <c r="AC4" s="396"/>
      <c r="AD4" s="396"/>
      <c r="AE4" s="396"/>
      <c r="AF4" s="396"/>
      <c r="AG4" s="396"/>
      <c r="AH4" s="396"/>
      <c r="AI4" s="396" t="s">
        <v>393</v>
      </c>
      <c r="AJ4" s="396"/>
      <c r="AK4" s="396"/>
      <c r="AL4" s="396"/>
      <c r="AM4" s="396"/>
      <c r="AN4" s="396" t="s">
        <v>12</v>
      </c>
    </row>
    <row r="5" spans="1:40" s="253" customFormat="1" ht="48" customHeight="1">
      <c r="A5" s="396"/>
      <c r="B5" s="396"/>
      <c r="C5" s="396"/>
      <c r="D5" s="396"/>
      <c r="E5" s="396"/>
      <c r="F5" s="396"/>
      <c r="G5" s="396"/>
      <c r="H5" s="397" t="s">
        <v>13</v>
      </c>
      <c r="I5" s="397" t="s">
        <v>14</v>
      </c>
      <c r="J5" s="397"/>
      <c r="K5" s="397"/>
      <c r="L5" s="397"/>
      <c r="M5" s="397"/>
      <c r="N5" s="397"/>
      <c r="O5" s="397"/>
      <c r="P5" s="396" t="s">
        <v>394</v>
      </c>
      <c r="Q5" s="396"/>
      <c r="R5" s="396"/>
      <c r="S5" s="396" t="s">
        <v>395</v>
      </c>
      <c r="T5" s="396"/>
      <c r="U5" s="396"/>
      <c r="V5" s="396" t="s">
        <v>396</v>
      </c>
      <c r="W5" s="396"/>
      <c r="X5" s="396"/>
      <c r="Y5" s="396" t="s">
        <v>397</v>
      </c>
      <c r="Z5" s="396"/>
      <c r="AA5" s="396"/>
      <c r="AB5" s="396"/>
      <c r="AC5" s="396"/>
      <c r="AD5" s="396" t="s">
        <v>398</v>
      </c>
      <c r="AE5" s="396"/>
      <c r="AF5" s="396"/>
      <c r="AG5" s="396"/>
      <c r="AH5" s="396"/>
      <c r="AI5" s="396"/>
      <c r="AJ5" s="396"/>
      <c r="AK5" s="396"/>
      <c r="AL5" s="396"/>
      <c r="AM5" s="396"/>
      <c r="AN5" s="396"/>
    </row>
    <row r="6" spans="1:40" s="253" customFormat="1" ht="30.75" customHeight="1">
      <c r="A6" s="396"/>
      <c r="B6" s="396"/>
      <c r="C6" s="396"/>
      <c r="D6" s="396"/>
      <c r="E6" s="396"/>
      <c r="F6" s="396"/>
      <c r="G6" s="396"/>
      <c r="H6" s="397"/>
      <c r="I6" s="397" t="s">
        <v>1</v>
      </c>
      <c r="J6" s="398" t="s">
        <v>3</v>
      </c>
      <c r="K6" s="398"/>
      <c r="L6" s="398"/>
      <c r="M6" s="398"/>
      <c r="N6" s="398"/>
      <c r="O6" s="398"/>
      <c r="P6" s="397" t="s">
        <v>15</v>
      </c>
      <c r="Q6" s="398" t="s">
        <v>3</v>
      </c>
      <c r="R6" s="398"/>
      <c r="S6" s="397" t="s">
        <v>15</v>
      </c>
      <c r="T6" s="398" t="s">
        <v>3</v>
      </c>
      <c r="U6" s="398"/>
      <c r="V6" s="397" t="s">
        <v>15</v>
      </c>
      <c r="W6" s="398" t="s">
        <v>3</v>
      </c>
      <c r="X6" s="398"/>
      <c r="Y6" s="397" t="s">
        <v>15</v>
      </c>
      <c r="Z6" s="399" t="s">
        <v>3</v>
      </c>
      <c r="AA6" s="399"/>
      <c r="AB6" s="399"/>
      <c r="AC6" s="399"/>
      <c r="AD6" s="397" t="s">
        <v>15</v>
      </c>
      <c r="AE6" s="399" t="s">
        <v>3</v>
      </c>
      <c r="AF6" s="399"/>
      <c r="AG6" s="399"/>
      <c r="AH6" s="399"/>
      <c r="AI6" s="397" t="s">
        <v>15</v>
      </c>
      <c r="AJ6" s="398" t="s">
        <v>3</v>
      </c>
      <c r="AK6" s="398"/>
      <c r="AL6" s="398"/>
      <c r="AM6" s="398"/>
      <c r="AN6" s="396"/>
    </row>
    <row r="7" spans="1:40" s="253" customFormat="1" ht="31.5" customHeight="1">
      <c r="A7" s="396"/>
      <c r="B7" s="396"/>
      <c r="C7" s="396"/>
      <c r="D7" s="396"/>
      <c r="E7" s="396"/>
      <c r="F7" s="396"/>
      <c r="G7" s="396"/>
      <c r="H7" s="397"/>
      <c r="I7" s="397"/>
      <c r="J7" s="396" t="s">
        <v>28</v>
      </c>
      <c r="K7" s="396"/>
      <c r="L7" s="397" t="s">
        <v>27</v>
      </c>
      <c r="M7" s="397"/>
      <c r="N7" s="397"/>
      <c r="O7" s="397"/>
      <c r="P7" s="397"/>
      <c r="Q7" s="396" t="s">
        <v>399</v>
      </c>
      <c r="R7" s="397" t="s">
        <v>387</v>
      </c>
      <c r="S7" s="397"/>
      <c r="T7" s="396" t="s">
        <v>399</v>
      </c>
      <c r="U7" s="397" t="s">
        <v>400</v>
      </c>
      <c r="V7" s="397"/>
      <c r="W7" s="396" t="s">
        <v>399</v>
      </c>
      <c r="X7" s="397" t="s">
        <v>400</v>
      </c>
      <c r="Y7" s="397"/>
      <c r="Z7" s="396" t="s">
        <v>25</v>
      </c>
      <c r="AA7" s="396"/>
      <c r="AB7" s="396"/>
      <c r="AC7" s="397" t="s">
        <v>26</v>
      </c>
      <c r="AD7" s="397"/>
      <c r="AE7" s="396" t="s">
        <v>25</v>
      </c>
      <c r="AF7" s="396"/>
      <c r="AG7" s="396"/>
      <c r="AH7" s="397" t="s">
        <v>26</v>
      </c>
      <c r="AI7" s="397"/>
      <c r="AJ7" s="396" t="s">
        <v>25</v>
      </c>
      <c r="AK7" s="396"/>
      <c r="AL7" s="396"/>
      <c r="AM7" s="397" t="s">
        <v>26</v>
      </c>
      <c r="AN7" s="396"/>
    </row>
    <row r="8" spans="1:40" s="253" customFormat="1" ht="31.5" customHeight="1">
      <c r="A8" s="396"/>
      <c r="B8" s="396"/>
      <c r="C8" s="396"/>
      <c r="D8" s="396"/>
      <c r="E8" s="396"/>
      <c r="F8" s="396"/>
      <c r="G8" s="396"/>
      <c r="H8" s="397"/>
      <c r="I8" s="397"/>
      <c r="J8" s="396"/>
      <c r="K8" s="396"/>
      <c r="L8" s="397"/>
      <c r="M8" s="397"/>
      <c r="N8" s="397"/>
      <c r="O8" s="397"/>
      <c r="P8" s="397"/>
      <c r="Q8" s="396"/>
      <c r="R8" s="397"/>
      <c r="S8" s="397"/>
      <c r="T8" s="396"/>
      <c r="U8" s="397"/>
      <c r="V8" s="397"/>
      <c r="W8" s="396"/>
      <c r="X8" s="397"/>
      <c r="Y8" s="397"/>
      <c r="Z8" s="397" t="s">
        <v>15</v>
      </c>
      <c r="AA8" s="397" t="s">
        <v>4</v>
      </c>
      <c r="AB8" s="397"/>
      <c r="AC8" s="397"/>
      <c r="AD8" s="397"/>
      <c r="AE8" s="396"/>
      <c r="AF8" s="396"/>
      <c r="AG8" s="396"/>
      <c r="AH8" s="397"/>
      <c r="AI8" s="397"/>
      <c r="AJ8" s="397" t="s">
        <v>15</v>
      </c>
      <c r="AK8" s="397" t="s">
        <v>4</v>
      </c>
      <c r="AL8" s="397"/>
      <c r="AM8" s="397"/>
      <c r="AN8" s="396"/>
    </row>
    <row r="9" spans="1:40" s="253" customFormat="1" ht="33" customHeight="1">
      <c r="A9" s="396"/>
      <c r="B9" s="396"/>
      <c r="C9" s="396"/>
      <c r="D9" s="396"/>
      <c r="E9" s="396"/>
      <c r="F9" s="396"/>
      <c r="G9" s="396"/>
      <c r="H9" s="397"/>
      <c r="I9" s="397"/>
      <c r="J9" s="397" t="s">
        <v>15</v>
      </c>
      <c r="K9" s="397" t="s">
        <v>24</v>
      </c>
      <c r="L9" s="397" t="s">
        <v>21</v>
      </c>
      <c r="M9" s="397" t="s">
        <v>5</v>
      </c>
      <c r="N9" s="397"/>
      <c r="O9" s="397"/>
      <c r="P9" s="397"/>
      <c r="Q9" s="396"/>
      <c r="R9" s="397"/>
      <c r="S9" s="397"/>
      <c r="T9" s="396"/>
      <c r="U9" s="397"/>
      <c r="V9" s="397"/>
      <c r="W9" s="396"/>
      <c r="X9" s="397"/>
      <c r="Y9" s="397"/>
      <c r="Z9" s="397"/>
      <c r="AA9" s="399" t="s">
        <v>401</v>
      </c>
      <c r="AB9" s="399" t="s">
        <v>376</v>
      </c>
      <c r="AC9" s="397"/>
      <c r="AD9" s="397"/>
      <c r="AE9" s="396"/>
      <c r="AF9" s="396"/>
      <c r="AG9" s="396"/>
      <c r="AH9" s="397"/>
      <c r="AI9" s="397"/>
      <c r="AJ9" s="397"/>
      <c r="AK9" s="399" t="s">
        <v>401</v>
      </c>
      <c r="AL9" s="399" t="s">
        <v>376</v>
      </c>
      <c r="AM9" s="397"/>
      <c r="AN9" s="396"/>
    </row>
    <row r="10" spans="1:40" s="253" customFormat="1" ht="33" customHeight="1">
      <c r="A10" s="396"/>
      <c r="B10" s="396"/>
      <c r="C10" s="396"/>
      <c r="D10" s="396"/>
      <c r="E10" s="396"/>
      <c r="F10" s="396"/>
      <c r="G10" s="396"/>
      <c r="H10" s="397"/>
      <c r="I10" s="397"/>
      <c r="J10" s="397"/>
      <c r="K10" s="397"/>
      <c r="L10" s="397"/>
      <c r="M10" s="397" t="s">
        <v>15</v>
      </c>
      <c r="N10" s="397" t="s">
        <v>4</v>
      </c>
      <c r="O10" s="397"/>
      <c r="P10" s="397"/>
      <c r="Q10" s="396"/>
      <c r="R10" s="397"/>
      <c r="S10" s="397"/>
      <c r="T10" s="396"/>
      <c r="U10" s="397"/>
      <c r="V10" s="397"/>
      <c r="W10" s="396"/>
      <c r="X10" s="397"/>
      <c r="Y10" s="397"/>
      <c r="Z10" s="397"/>
      <c r="AA10" s="399"/>
      <c r="AB10" s="399"/>
      <c r="AC10" s="397"/>
      <c r="AD10" s="397"/>
      <c r="AE10" s="396"/>
      <c r="AF10" s="396"/>
      <c r="AG10" s="396"/>
      <c r="AH10" s="397"/>
      <c r="AI10" s="397"/>
      <c r="AJ10" s="397"/>
      <c r="AK10" s="399"/>
      <c r="AL10" s="399"/>
      <c r="AM10" s="397"/>
      <c r="AN10" s="396"/>
    </row>
    <row r="11" spans="1:40" s="253" customFormat="1" ht="33.75" customHeight="1">
      <c r="A11" s="396"/>
      <c r="B11" s="396"/>
      <c r="C11" s="396"/>
      <c r="D11" s="396"/>
      <c r="E11" s="396"/>
      <c r="F11" s="396"/>
      <c r="G11" s="396"/>
      <c r="H11" s="397"/>
      <c r="I11" s="397"/>
      <c r="J11" s="397"/>
      <c r="K11" s="397"/>
      <c r="L11" s="397"/>
      <c r="M11" s="397"/>
      <c r="N11" s="13" t="s">
        <v>22</v>
      </c>
      <c r="O11" s="13" t="s">
        <v>23</v>
      </c>
      <c r="P11" s="397"/>
      <c r="Q11" s="396"/>
      <c r="R11" s="397"/>
      <c r="S11" s="397"/>
      <c r="T11" s="396"/>
      <c r="U11" s="397"/>
      <c r="V11" s="397"/>
      <c r="W11" s="396"/>
      <c r="X11" s="397"/>
      <c r="Y11" s="397"/>
      <c r="Z11" s="397"/>
      <c r="AA11" s="399"/>
      <c r="AB11" s="399"/>
      <c r="AC11" s="397"/>
      <c r="AD11" s="397"/>
      <c r="AE11" s="396"/>
      <c r="AF11" s="396"/>
      <c r="AG11" s="396"/>
      <c r="AH11" s="397"/>
      <c r="AI11" s="397"/>
      <c r="AJ11" s="397"/>
      <c r="AK11" s="399"/>
      <c r="AL11" s="399"/>
      <c r="AM11" s="397"/>
      <c r="AN11" s="396"/>
    </row>
    <row r="12" spans="1:40" s="255" customFormat="1" ht="30.75" customHeight="1">
      <c r="A12" s="254" t="s">
        <v>7</v>
      </c>
      <c r="B12" s="254" t="s">
        <v>384</v>
      </c>
      <c r="C12" s="254" t="s">
        <v>386</v>
      </c>
      <c r="D12" s="254" t="s">
        <v>402</v>
      </c>
      <c r="E12" s="254" t="s">
        <v>403</v>
      </c>
      <c r="F12" s="254" t="s">
        <v>385</v>
      </c>
      <c r="G12" s="254" t="s">
        <v>404</v>
      </c>
      <c r="H12" s="254">
        <v>3</v>
      </c>
      <c r="I12" s="254">
        <v>4</v>
      </c>
      <c r="J12" s="254">
        <v>5</v>
      </c>
      <c r="K12" s="254">
        <v>6</v>
      </c>
      <c r="L12" s="254">
        <v>7</v>
      </c>
      <c r="M12" s="254">
        <v>8</v>
      </c>
      <c r="N12" s="254">
        <v>9</v>
      </c>
      <c r="O12" s="254">
        <v>10</v>
      </c>
      <c r="P12" s="254" t="s">
        <v>405</v>
      </c>
      <c r="Q12" s="254" t="s">
        <v>406</v>
      </c>
      <c r="R12" s="254" t="s">
        <v>407</v>
      </c>
      <c r="S12" s="254" t="s">
        <v>408</v>
      </c>
      <c r="T12" s="254" t="s">
        <v>409</v>
      </c>
      <c r="U12" s="254" t="s">
        <v>410</v>
      </c>
      <c r="V12" s="254" t="s">
        <v>411</v>
      </c>
      <c r="W12" s="254" t="s">
        <v>412</v>
      </c>
      <c r="X12" s="254" t="s">
        <v>413</v>
      </c>
      <c r="Y12" s="254">
        <v>11</v>
      </c>
      <c r="Z12" s="254">
        <v>12</v>
      </c>
      <c r="AA12" s="254">
        <v>13</v>
      </c>
      <c r="AB12" s="254">
        <v>14</v>
      </c>
      <c r="AC12" s="254">
        <v>15</v>
      </c>
      <c r="AD12" s="254">
        <v>16</v>
      </c>
      <c r="AE12" s="254">
        <v>17</v>
      </c>
      <c r="AF12" s="254">
        <v>19</v>
      </c>
      <c r="AG12" s="254">
        <v>20</v>
      </c>
      <c r="AH12" s="254">
        <v>18</v>
      </c>
      <c r="AI12" s="254">
        <v>19</v>
      </c>
      <c r="AJ12" s="254">
        <v>23</v>
      </c>
      <c r="AK12" s="254">
        <v>24</v>
      </c>
      <c r="AL12" s="254">
        <v>25</v>
      </c>
      <c r="AM12" s="254">
        <v>20</v>
      </c>
      <c r="AN12" s="254">
        <v>21</v>
      </c>
    </row>
    <row r="13" spans="1:40" s="4" customFormat="1" ht="36.75" customHeight="1">
      <c r="A13" s="3"/>
      <c r="B13" s="404" t="s">
        <v>2</v>
      </c>
      <c r="C13" s="404"/>
      <c r="D13" s="236"/>
      <c r="E13" s="3"/>
      <c r="F13" s="3"/>
      <c r="G13" s="3"/>
      <c r="H13" s="3"/>
      <c r="I13" s="262">
        <f>I14</f>
        <v>2279505</v>
      </c>
      <c r="J13" s="262">
        <f aca="true" t="shared" si="0" ref="J13:AM13">J14</f>
        <v>728752</v>
      </c>
      <c r="K13" s="262">
        <f t="shared" si="0"/>
        <v>179852</v>
      </c>
      <c r="L13" s="262"/>
      <c r="M13" s="262">
        <f t="shared" si="0"/>
        <v>1550303</v>
      </c>
      <c r="N13" s="262">
        <f t="shared" si="0"/>
        <v>1343826.8</v>
      </c>
      <c r="O13" s="262">
        <f t="shared" si="0"/>
        <v>206476.2</v>
      </c>
      <c r="P13" s="262">
        <f t="shared" si="0"/>
        <v>367013</v>
      </c>
      <c r="Q13" s="262">
        <f t="shared" si="0"/>
        <v>23313</v>
      </c>
      <c r="R13" s="262">
        <f t="shared" si="0"/>
        <v>343700</v>
      </c>
      <c r="S13" s="262">
        <f t="shared" si="0"/>
        <v>102481</v>
      </c>
      <c r="T13" s="262">
        <f t="shared" si="0"/>
        <v>23313</v>
      </c>
      <c r="U13" s="262">
        <f t="shared" si="0"/>
        <v>95368</v>
      </c>
      <c r="V13" s="262">
        <f t="shared" si="0"/>
        <v>348732</v>
      </c>
      <c r="W13" s="262">
        <f t="shared" si="0"/>
        <v>21232</v>
      </c>
      <c r="X13" s="262">
        <f t="shared" si="0"/>
        <v>343700</v>
      </c>
      <c r="Y13" s="262">
        <f t="shared" si="0"/>
        <v>1064551</v>
      </c>
      <c r="Z13" s="262">
        <f t="shared" si="0"/>
        <v>111933</v>
      </c>
      <c r="AA13" s="262">
        <f t="shared" si="0"/>
        <v>0</v>
      </c>
      <c r="AB13" s="262">
        <f t="shared" si="0"/>
        <v>0</v>
      </c>
      <c r="AC13" s="262">
        <f t="shared" si="0"/>
        <v>952618</v>
      </c>
      <c r="AD13" s="263">
        <v>856875</v>
      </c>
      <c r="AE13" s="263">
        <v>111933</v>
      </c>
      <c r="AF13" s="263">
        <v>0</v>
      </c>
      <c r="AG13" s="263">
        <v>0</v>
      </c>
      <c r="AH13" s="263">
        <v>744942</v>
      </c>
      <c r="AI13" s="262">
        <f t="shared" si="0"/>
        <v>205942</v>
      </c>
      <c r="AJ13" s="262">
        <f t="shared" si="0"/>
        <v>0</v>
      </c>
      <c r="AK13" s="262">
        <v>0</v>
      </c>
      <c r="AL13" s="262">
        <f t="shared" si="0"/>
        <v>0</v>
      </c>
      <c r="AM13" s="262">
        <f t="shared" si="0"/>
        <v>205942</v>
      </c>
      <c r="AN13" s="264"/>
    </row>
    <row r="14" spans="1:52" s="5" customFormat="1" ht="57.75" customHeight="1">
      <c r="A14" s="265" t="s">
        <v>16</v>
      </c>
      <c r="B14" s="405" t="s">
        <v>414</v>
      </c>
      <c r="C14" s="405"/>
      <c r="D14" s="266"/>
      <c r="E14" s="265"/>
      <c r="F14" s="265"/>
      <c r="G14" s="237"/>
      <c r="H14" s="237"/>
      <c r="I14" s="262">
        <f>I15+I20+I24</f>
        <v>2279505</v>
      </c>
      <c r="J14" s="262">
        <f aca="true" t="shared" si="1" ref="J14:AA14">J15+J20+J24</f>
        <v>728752</v>
      </c>
      <c r="K14" s="262">
        <f t="shared" si="1"/>
        <v>179852</v>
      </c>
      <c r="L14" s="262"/>
      <c r="M14" s="262">
        <f t="shared" si="1"/>
        <v>1550303</v>
      </c>
      <c r="N14" s="262">
        <f t="shared" si="1"/>
        <v>1343826.8</v>
      </c>
      <c r="O14" s="262">
        <f t="shared" si="1"/>
        <v>206476.2</v>
      </c>
      <c r="P14" s="262">
        <f t="shared" si="1"/>
        <v>367013</v>
      </c>
      <c r="Q14" s="262">
        <f t="shared" si="1"/>
        <v>23313</v>
      </c>
      <c r="R14" s="262">
        <f t="shared" si="1"/>
        <v>343700</v>
      </c>
      <c r="S14" s="262">
        <f t="shared" si="1"/>
        <v>102481</v>
      </c>
      <c r="T14" s="262">
        <f t="shared" si="1"/>
        <v>23313</v>
      </c>
      <c r="U14" s="262">
        <f t="shared" si="1"/>
        <v>95368</v>
      </c>
      <c r="V14" s="262">
        <f t="shared" si="1"/>
        <v>348732</v>
      </c>
      <c r="W14" s="262">
        <f t="shared" si="1"/>
        <v>21232</v>
      </c>
      <c r="X14" s="262">
        <f t="shared" si="1"/>
        <v>343700</v>
      </c>
      <c r="Y14" s="262">
        <f t="shared" si="1"/>
        <v>1064551</v>
      </c>
      <c r="Z14" s="262">
        <f t="shared" si="1"/>
        <v>111933</v>
      </c>
      <c r="AA14" s="262">
        <f t="shared" si="1"/>
        <v>0</v>
      </c>
      <c r="AB14" s="262"/>
      <c r="AC14" s="262">
        <f>AC15+AC20+AC24</f>
        <v>952618</v>
      </c>
      <c r="AD14" s="263">
        <v>856875</v>
      </c>
      <c r="AE14" s="263">
        <v>111933</v>
      </c>
      <c r="AF14" s="263">
        <v>0</v>
      </c>
      <c r="AG14" s="263">
        <v>0</v>
      </c>
      <c r="AH14" s="263">
        <v>744942</v>
      </c>
      <c r="AI14" s="262">
        <f>AI15+AI20+AI24</f>
        <v>205942</v>
      </c>
      <c r="AJ14" s="262">
        <f>AJ15+AJ20+AJ24</f>
        <v>0</v>
      </c>
      <c r="AK14" s="262">
        <v>0</v>
      </c>
      <c r="AL14" s="262">
        <f>AL15+AL20+AL24</f>
        <v>0</v>
      </c>
      <c r="AM14" s="262">
        <f>AM15+AM20+AM24</f>
        <v>205942</v>
      </c>
      <c r="AN14" s="262"/>
      <c r="AO14" s="4"/>
      <c r="AZ14" s="256">
        <f>AK25</f>
        <v>0</v>
      </c>
    </row>
    <row r="15" spans="1:42" s="2" customFormat="1" ht="36.75" customHeight="1">
      <c r="A15" s="267" t="s">
        <v>17</v>
      </c>
      <c r="B15" s="403" t="s">
        <v>30</v>
      </c>
      <c r="C15" s="403"/>
      <c r="D15" s="268"/>
      <c r="E15" s="269"/>
      <c r="F15" s="269"/>
      <c r="G15" s="269"/>
      <c r="H15" s="269"/>
      <c r="I15" s="270">
        <f>I16</f>
        <v>1285721</v>
      </c>
      <c r="J15" s="270">
        <f aca="true" t="shared" si="2" ref="J15:AM15">J16</f>
        <v>332569</v>
      </c>
      <c r="K15" s="270">
        <f t="shared" si="2"/>
        <v>139852</v>
      </c>
      <c r="L15" s="271"/>
      <c r="M15" s="270">
        <f t="shared" si="2"/>
        <v>953152</v>
      </c>
      <c r="N15" s="270">
        <f t="shared" si="2"/>
        <v>857836.8</v>
      </c>
      <c r="O15" s="270">
        <f t="shared" si="2"/>
        <v>95315.2</v>
      </c>
      <c r="P15" s="270">
        <f t="shared" si="2"/>
        <v>207432</v>
      </c>
      <c r="Q15" s="270">
        <f t="shared" si="2"/>
        <v>21232</v>
      </c>
      <c r="R15" s="270">
        <f t="shared" si="2"/>
        <v>186200</v>
      </c>
      <c r="S15" s="272">
        <f t="shared" si="2"/>
        <v>55067</v>
      </c>
      <c r="T15" s="272">
        <f t="shared" si="2"/>
        <v>21232</v>
      </c>
      <c r="U15" s="272">
        <f t="shared" si="2"/>
        <v>50035</v>
      </c>
      <c r="V15" s="270">
        <f t="shared" si="2"/>
        <v>191232</v>
      </c>
      <c r="W15" s="270">
        <f t="shared" si="2"/>
        <v>21232</v>
      </c>
      <c r="X15" s="270">
        <f t="shared" si="2"/>
        <v>186200</v>
      </c>
      <c r="Y15" s="270">
        <f t="shared" si="2"/>
        <v>685586</v>
      </c>
      <c r="Z15" s="270">
        <f t="shared" si="2"/>
        <v>109852</v>
      </c>
      <c r="AA15" s="270">
        <f t="shared" si="2"/>
        <v>0</v>
      </c>
      <c r="AB15" s="270"/>
      <c r="AC15" s="270">
        <f t="shared" si="2"/>
        <v>575734</v>
      </c>
      <c r="AD15" s="273">
        <v>587820</v>
      </c>
      <c r="AE15" s="273">
        <v>109852</v>
      </c>
      <c r="AF15" s="273">
        <v>0</v>
      </c>
      <c r="AG15" s="273">
        <v>0</v>
      </c>
      <c r="AH15" s="273">
        <v>477968</v>
      </c>
      <c r="AI15" s="270">
        <f t="shared" si="2"/>
        <v>96449</v>
      </c>
      <c r="AJ15" s="270">
        <f t="shared" si="2"/>
        <v>0</v>
      </c>
      <c r="AK15" s="270">
        <v>0</v>
      </c>
      <c r="AL15" s="270"/>
      <c r="AM15" s="270">
        <f t="shared" si="2"/>
        <v>96449</v>
      </c>
      <c r="AN15" s="274"/>
      <c r="AO15" s="4"/>
      <c r="AP15" s="8"/>
    </row>
    <row r="16" spans="1:41" s="7" customFormat="1" ht="39.75" customHeight="1">
      <c r="A16" s="267"/>
      <c r="B16" s="401" t="s">
        <v>415</v>
      </c>
      <c r="C16" s="401"/>
      <c r="D16" s="268"/>
      <c r="E16" s="268"/>
      <c r="F16" s="268"/>
      <c r="G16" s="268"/>
      <c r="H16" s="268"/>
      <c r="I16" s="273">
        <f aca="true" t="shared" si="3" ref="I16:AC16">SUM(I18:I19)</f>
        <v>1285721</v>
      </c>
      <c r="J16" s="273">
        <f t="shared" si="3"/>
        <v>332569</v>
      </c>
      <c r="K16" s="273">
        <f t="shared" si="3"/>
        <v>139852</v>
      </c>
      <c r="L16" s="273"/>
      <c r="M16" s="273">
        <f t="shared" si="3"/>
        <v>953152</v>
      </c>
      <c r="N16" s="273">
        <f t="shared" si="3"/>
        <v>857836.8</v>
      </c>
      <c r="O16" s="273">
        <f t="shared" si="3"/>
        <v>95315.2</v>
      </c>
      <c r="P16" s="273">
        <f t="shared" si="3"/>
        <v>207432</v>
      </c>
      <c r="Q16" s="273">
        <f t="shared" si="3"/>
        <v>21232</v>
      </c>
      <c r="R16" s="273">
        <f t="shared" si="3"/>
        <v>186200</v>
      </c>
      <c r="S16" s="273">
        <f t="shared" si="3"/>
        <v>55067</v>
      </c>
      <c r="T16" s="273">
        <f t="shared" si="3"/>
        <v>21232</v>
      </c>
      <c r="U16" s="273">
        <f t="shared" si="3"/>
        <v>50035</v>
      </c>
      <c r="V16" s="273">
        <f t="shared" si="3"/>
        <v>191232</v>
      </c>
      <c r="W16" s="273">
        <f t="shared" si="3"/>
        <v>21232</v>
      </c>
      <c r="X16" s="273">
        <f t="shared" si="3"/>
        <v>186200</v>
      </c>
      <c r="Y16" s="273">
        <f t="shared" si="3"/>
        <v>685586</v>
      </c>
      <c r="Z16" s="273">
        <f t="shared" si="3"/>
        <v>109852</v>
      </c>
      <c r="AA16" s="273">
        <f t="shared" si="3"/>
        <v>0</v>
      </c>
      <c r="AB16" s="273">
        <f t="shared" si="3"/>
        <v>0</v>
      </c>
      <c r="AC16" s="273">
        <f t="shared" si="3"/>
        <v>575734</v>
      </c>
      <c r="AD16" s="273">
        <v>587820</v>
      </c>
      <c r="AE16" s="273">
        <v>109852</v>
      </c>
      <c r="AF16" s="273">
        <v>0</v>
      </c>
      <c r="AG16" s="273">
        <v>0</v>
      </c>
      <c r="AH16" s="273">
        <v>477968</v>
      </c>
      <c r="AI16" s="273">
        <f>SUM(AI18:AI19)</f>
        <v>96449</v>
      </c>
      <c r="AJ16" s="273">
        <f>SUM(AJ18:AJ19)</f>
        <v>0</v>
      </c>
      <c r="AK16" s="273">
        <v>0</v>
      </c>
      <c r="AL16" s="273">
        <f>SUM(AL18:AL19)</f>
        <v>0</v>
      </c>
      <c r="AM16" s="273">
        <f>SUM(AM18:AM19)</f>
        <v>96449</v>
      </c>
      <c r="AN16" s="275"/>
      <c r="AO16" s="4"/>
    </row>
    <row r="17" spans="1:42" s="1" customFormat="1" ht="24.75" customHeight="1">
      <c r="A17" s="276"/>
      <c r="B17" s="400" t="s">
        <v>8</v>
      </c>
      <c r="C17" s="400"/>
      <c r="D17" s="277"/>
      <c r="E17" s="278"/>
      <c r="F17" s="278"/>
      <c r="G17" s="278"/>
      <c r="H17" s="278"/>
      <c r="I17" s="238"/>
      <c r="J17" s="238"/>
      <c r="K17" s="238"/>
      <c r="L17" s="279"/>
      <c r="M17" s="238"/>
      <c r="N17" s="238"/>
      <c r="O17" s="238"/>
      <c r="P17" s="238"/>
      <c r="Q17" s="238"/>
      <c r="R17" s="238"/>
      <c r="S17" s="238"/>
      <c r="T17" s="238"/>
      <c r="U17" s="238"/>
      <c r="V17" s="238"/>
      <c r="W17" s="238"/>
      <c r="X17" s="238"/>
      <c r="Y17" s="238"/>
      <c r="Z17" s="238"/>
      <c r="AA17" s="238"/>
      <c r="AB17" s="238"/>
      <c r="AC17" s="238"/>
      <c r="AD17" s="280"/>
      <c r="AE17" s="280"/>
      <c r="AF17" s="280"/>
      <c r="AG17" s="280"/>
      <c r="AH17" s="280"/>
      <c r="AI17" s="238"/>
      <c r="AJ17" s="238"/>
      <c r="AK17" s="238"/>
      <c r="AL17" s="238"/>
      <c r="AM17" s="238"/>
      <c r="AN17" s="281"/>
      <c r="AO17" s="4"/>
      <c r="AP17" s="6"/>
    </row>
    <row r="18" spans="1:41" s="2" customFormat="1" ht="156">
      <c r="A18" s="267"/>
      <c r="B18" s="282" t="s">
        <v>34</v>
      </c>
      <c r="C18" s="282">
        <v>7641426</v>
      </c>
      <c r="D18" s="278" t="s">
        <v>157</v>
      </c>
      <c r="E18" s="278" t="s">
        <v>35</v>
      </c>
      <c r="F18" s="283" t="s">
        <v>416</v>
      </c>
      <c r="G18" s="284" t="s">
        <v>36</v>
      </c>
      <c r="H18" s="284" t="s">
        <v>37</v>
      </c>
      <c r="I18" s="285">
        <v>1071289</v>
      </c>
      <c r="J18" s="285">
        <v>313939</v>
      </c>
      <c r="K18" s="285">
        <v>139852</v>
      </c>
      <c r="L18" s="286" t="s">
        <v>38</v>
      </c>
      <c r="M18" s="287">
        <v>757350</v>
      </c>
      <c r="N18" s="287">
        <v>681615</v>
      </c>
      <c r="O18" s="287">
        <f>M18-N18</f>
        <v>75735</v>
      </c>
      <c r="P18" s="238">
        <f>Q18+R18</f>
        <v>191232</v>
      </c>
      <c r="Q18" s="238">
        <v>21232</v>
      </c>
      <c r="R18" s="285">
        <v>170000</v>
      </c>
      <c r="S18" s="288">
        <f>T18+U18</f>
        <v>55067</v>
      </c>
      <c r="T18" s="288">
        <v>21232</v>
      </c>
      <c r="U18" s="288">
        <v>33835</v>
      </c>
      <c r="V18" s="285">
        <f>W18+X18</f>
        <v>191232</v>
      </c>
      <c r="W18" s="285">
        <v>21232</v>
      </c>
      <c r="X18" s="285">
        <v>170000</v>
      </c>
      <c r="Y18" s="280">
        <f>Z18+AC18</f>
        <v>635364</v>
      </c>
      <c r="Z18" s="280">
        <v>109852</v>
      </c>
      <c r="AA18" s="289"/>
      <c r="AB18" s="289"/>
      <c r="AC18" s="280">
        <v>525512</v>
      </c>
      <c r="AD18" s="280">
        <v>544197</v>
      </c>
      <c r="AE18" s="280">
        <v>109852</v>
      </c>
      <c r="AF18" s="289"/>
      <c r="AG18" s="289"/>
      <c r="AH18" s="280">
        <v>434345</v>
      </c>
      <c r="AI18" s="280">
        <f>AJ18+AM18</f>
        <v>91167</v>
      </c>
      <c r="AJ18" s="280"/>
      <c r="AK18" s="280"/>
      <c r="AL18" s="280"/>
      <c r="AM18" s="280">
        <v>91167</v>
      </c>
      <c r="AN18" s="281"/>
      <c r="AO18" s="4"/>
    </row>
    <row r="19" spans="1:41" s="2" customFormat="1" ht="93">
      <c r="A19" s="267"/>
      <c r="B19" s="282" t="s">
        <v>417</v>
      </c>
      <c r="C19" s="282">
        <v>7593697</v>
      </c>
      <c r="D19" s="278" t="s">
        <v>157</v>
      </c>
      <c r="E19" s="278" t="s">
        <v>29</v>
      </c>
      <c r="F19" s="283" t="s">
        <v>418</v>
      </c>
      <c r="G19" s="283" t="s">
        <v>31</v>
      </c>
      <c r="H19" s="284" t="s">
        <v>32</v>
      </c>
      <c r="I19" s="290">
        <v>214432.00000000003</v>
      </c>
      <c r="J19" s="239">
        <v>18630</v>
      </c>
      <c r="K19" s="239">
        <v>0</v>
      </c>
      <c r="L19" s="180" t="s">
        <v>33</v>
      </c>
      <c r="M19" s="239">
        <v>195802.00000000003</v>
      </c>
      <c r="N19" s="239">
        <v>176221.80000000002</v>
      </c>
      <c r="O19" s="239">
        <v>19580.2</v>
      </c>
      <c r="P19" s="238">
        <f>Q19+R19</f>
        <v>16200</v>
      </c>
      <c r="Q19" s="238"/>
      <c r="R19" s="285">
        <v>16200</v>
      </c>
      <c r="S19" s="288"/>
      <c r="T19" s="288"/>
      <c r="U19" s="288">
        <f>V19+X19</f>
        <v>16200</v>
      </c>
      <c r="V19" s="285"/>
      <c r="W19" s="285"/>
      <c r="X19" s="285">
        <v>16200</v>
      </c>
      <c r="Y19" s="280">
        <f>Z19+AC19</f>
        <v>50222</v>
      </c>
      <c r="Z19" s="280"/>
      <c r="AA19" s="289"/>
      <c r="AB19" s="289"/>
      <c r="AC19" s="280">
        <v>50222</v>
      </c>
      <c r="AD19" s="280">
        <v>43623</v>
      </c>
      <c r="AE19" s="280"/>
      <c r="AF19" s="289"/>
      <c r="AG19" s="289"/>
      <c r="AH19" s="280">
        <v>43623</v>
      </c>
      <c r="AI19" s="280">
        <f>AJ19+AM19</f>
        <v>5282</v>
      </c>
      <c r="AJ19" s="280"/>
      <c r="AK19" s="280"/>
      <c r="AL19" s="280"/>
      <c r="AM19" s="280">
        <v>5282</v>
      </c>
      <c r="AN19" s="281"/>
      <c r="AO19" s="4"/>
    </row>
    <row r="20" spans="1:41" s="7" customFormat="1" ht="48" customHeight="1">
      <c r="A20" s="276" t="s">
        <v>18</v>
      </c>
      <c r="B20" s="400" t="s">
        <v>103</v>
      </c>
      <c r="C20" s="400"/>
      <c r="D20" s="277"/>
      <c r="E20" s="268"/>
      <c r="F20" s="268"/>
      <c r="G20" s="268"/>
      <c r="H20" s="268"/>
      <c r="I20" s="270">
        <f>I21</f>
        <v>840129</v>
      </c>
      <c r="J20" s="270">
        <f aca="true" t="shared" si="4" ref="J20:AM20">J21</f>
        <v>364129</v>
      </c>
      <c r="K20" s="270">
        <f t="shared" si="4"/>
        <v>40000</v>
      </c>
      <c r="L20" s="271"/>
      <c r="M20" s="270">
        <f t="shared" si="4"/>
        <v>476000</v>
      </c>
      <c r="N20" s="270">
        <f t="shared" si="4"/>
        <v>401184</v>
      </c>
      <c r="O20" s="270">
        <f t="shared" si="4"/>
        <v>74816</v>
      </c>
      <c r="P20" s="270">
        <f t="shared" si="4"/>
        <v>128081</v>
      </c>
      <c r="Q20" s="270">
        <f t="shared" si="4"/>
        <v>2081</v>
      </c>
      <c r="R20" s="270">
        <f t="shared" si="4"/>
        <v>126000</v>
      </c>
      <c r="S20" s="270">
        <f t="shared" si="4"/>
        <v>38081</v>
      </c>
      <c r="T20" s="270">
        <f t="shared" si="4"/>
        <v>2081</v>
      </c>
      <c r="U20" s="270">
        <f t="shared" si="4"/>
        <v>36000</v>
      </c>
      <c r="V20" s="270">
        <f t="shared" si="4"/>
        <v>126000</v>
      </c>
      <c r="W20" s="270">
        <f t="shared" si="4"/>
        <v>0</v>
      </c>
      <c r="X20" s="270">
        <f t="shared" si="4"/>
        <v>126000</v>
      </c>
      <c r="Y20" s="270">
        <f t="shared" si="4"/>
        <v>294159</v>
      </c>
      <c r="Z20" s="270">
        <f t="shared" si="4"/>
        <v>2081</v>
      </c>
      <c r="AA20" s="270">
        <f t="shared" si="4"/>
        <v>0</v>
      </c>
      <c r="AB20" s="270"/>
      <c r="AC20" s="270">
        <f t="shared" si="4"/>
        <v>292078</v>
      </c>
      <c r="AD20" s="270">
        <v>217555</v>
      </c>
      <c r="AE20" s="270">
        <v>2081</v>
      </c>
      <c r="AF20" s="270">
        <v>0</v>
      </c>
      <c r="AG20" s="270">
        <v>0</v>
      </c>
      <c r="AH20" s="270">
        <v>215474</v>
      </c>
      <c r="AI20" s="270">
        <f>AI21</f>
        <v>76493</v>
      </c>
      <c r="AJ20" s="270">
        <f t="shared" si="4"/>
        <v>0</v>
      </c>
      <c r="AK20" s="270"/>
      <c r="AL20" s="270"/>
      <c r="AM20" s="270">
        <f t="shared" si="4"/>
        <v>76493</v>
      </c>
      <c r="AN20" s="275"/>
      <c r="AO20" s="4"/>
    </row>
    <row r="21" spans="1:41" s="7" customFormat="1" ht="36.75" customHeight="1">
      <c r="A21" s="267"/>
      <c r="B21" s="401" t="s">
        <v>419</v>
      </c>
      <c r="C21" s="401"/>
      <c r="D21" s="268"/>
      <c r="E21" s="268"/>
      <c r="F21" s="268"/>
      <c r="G21" s="268"/>
      <c r="H21" s="268"/>
      <c r="I21" s="270">
        <f>I23</f>
        <v>840129</v>
      </c>
      <c r="J21" s="270">
        <f aca="true" t="shared" si="5" ref="J21:AM21">J23</f>
        <v>364129</v>
      </c>
      <c r="K21" s="270">
        <f t="shared" si="5"/>
        <v>40000</v>
      </c>
      <c r="L21" s="270"/>
      <c r="M21" s="270">
        <f t="shared" si="5"/>
        <v>476000</v>
      </c>
      <c r="N21" s="270">
        <f t="shared" si="5"/>
        <v>401184</v>
      </c>
      <c r="O21" s="270">
        <f t="shared" si="5"/>
        <v>74816</v>
      </c>
      <c r="P21" s="270">
        <f t="shared" si="5"/>
        <v>128081</v>
      </c>
      <c r="Q21" s="270">
        <f t="shared" si="5"/>
        <v>2081</v>
      </c>
      <c r="R21" s="270">
        <f t="shared" si="5"/>
        <v>126000</v>
      </c>
      <c r="S21" s="270">
        <f>S23</f>
        <v>38081</v>
      </c>
      <c r="T21" s="270">
        <f>T23</f>
        <v>2081</v>
      </c>
      <c r="U21" s="270">
        <f>U23</f>
        <v>36000</v>
      </c>
      <c r="V21" s="270">
        <f t="shared" si="5"/>
        <v>126000</v>
      </c>
      <c r="W21" s="270">
        <f t="shared" si="5"/>
        <v>0</v>
      </c>
      <c r="X21" s="270">
        <f t="shared" si="5"/>
        <v>126000</v>
      </c>
      <c r="Y21" s="270">
        <f t="shared" si="5"/>
        <v>294159</v>
      </c>
      <c r="Z21" s="270">
        <f t="shared" si="5"/>
        <v>2081</v>
      </c>
      <c r="AA21" s="270">
        <f t="shared" si="5"/>
        <v>0</v>
      </c>
      <c r="AB21" s="270"/>
      <c r="AC21" s="270">
        <f t="shared" si="5"/>
        <v>292078</v>
      </c>
      <c r="AD21" s="273">
        <v>217555</v>
      </c>
      <c r="AE21" s="273">
        <v>2081</v>
      </c>
      <c r="AF21" s="273">
        <v>0</v>
      </c>
      <c r="AG21" s="273">
        <v>0</v>
      </c>
      <c r="AH21" s="273">
        <v>215474</v>
      </c>
      <c r="AI21" s="270">
        <f t="shared" si="5"/>
        <v>76493</v>
      </c>
      <c r="AJ21" s="270">
        <f t="shared" si="5"/>
        <v>0</v>
      </c>
      <c r="AK21" s="270">
        <f t="shared" si="5"/>
        <v>0</v>
      </c>
      <c r="AL21" s="270"/>
      <c r="AM21" s="270">
        <f t="shared" si="5"/>
        <v>76493</v>
      </c>
      <c r="AN21" s="275"/>
      <c r="AO21" s="4"/>
    </row>
    <row r="22" spans="1:41" s="7" customFormat="1" ht="28.5" customHeight="1">
      <c r="A22" s="267"/>
      <c r="B22" s="401" t="s">
        <v>8</v>
      </c>
      <c r="C22" s="401"/>
      <c r="D22" s="268"/>
      <c r="E22" s="268"/>
      <c r="F22" s="268"/>
      <c r="G22" s="268"/>
      <c r="H22" s="268"/>
      <c r="I22" s="270"/>
      <c r="J22" s="270"/>
      <c r="K22" s="270"/>
      <c r="L22" s="271"/>
      <c r="M22" s="270"/>
      <c r="N22" s="270"/>
      <c r="O22" s="270"/>
      <c r="P22" s="270"/>
      <c r="Q22" s="270"/>
      <c r="R22" s="270"/>
      <c r="S22" s="270"/>
      <c r="T22" s="270"/>
      <c r="U22" s="270"/>
      <c r="V22" s="270"/>
      <c r="W22" s="270"/>
      <c r="X22" s="270"/>
      <c r="Y22" s="270"/>
      <c r="Z22" s="270"/>
      <c r="AA22" s="270"/>
      <c r="AB22" s="270"/>
      <c r="AC22" s="270"/>
      <c r="AD22" s="273"/>
      <c r="AE22" s="273"/>
      <c r="AF22" s="273"/>
      <c r="AG22" s="273"/>
      <c r="AH22" s="273"/>
      <c r="AI22" s="270"/>
      <c r="AJ22" s="270"/>
      <c r="AK22" s="270"/>
      <c r="AL22" s="270"/>
      <c r="AM22" s="270"/>
      <c r="AN22" s="275"/>
      <c r="AO22" s="4"/>
    </row>
    <row r="23" spans="1:42" s="10" customFormat="1" ht="75" customHeight="1">
      <c r="A23" s="291"/>
      <c r="B23" s="292" t="s">
        <v>40</v>
      </c>
      <c r="C23" s="292">
        <v>7608323</v>
      </c>
      <c r="D23" s="293" t="s">
        <v>157</v>
      </c>
      <c r="E23" s="293" t="s">
        <v>41</v>
      </c>
      <c r="F23" s="283" t="s">
        <v>420</v>
      </c>
      <c r="G23" s="293" t="s">
        <v>42</v>
      </c>
      <c r="H23" s="284" t="s">
        <v>421</v>
      </c>
      <c r="I23" s="285">
        <v>840129</v>
      </c>
      <c r="J23" s="285">
        <v>364129</v>
      </c>
      <c r="K23" s="285">
        <v>40000</v>
      </c>
      <c r="L23" s="168" t="s">
        <v>43</v>
      </c>
      <c r="M23" s="285">
        <v>476000</v>
      </c>
      <c r="N23" s="285">
        <v>401184</v>
      </c>
      <c r="O23" s="285">
        <f>M23-N23</f>
        <v>74816</v>
      </c>
      <c r="P23" s="280">
        <f>Q23+R23</f>
        <v>128081</v>
      </c>
      <c r="Q23" s="280">
        <v>2081</v>
      </c>
      <c r="R23" s="280">
        <v>126000</v>
      </c>
      <c r="S23" s="238">
        <f>T23+U23</f>
        <v>38081</v>
      </c>
      <c r="T23" s="238">
        <v>2081</v>
      </c>
      <c r="U23" s="238">
        <v>36000</v>
      </c>
      <c r="V23" s="280">
        <f>W23+X23</f>
        <v>126000</v>
      </c>
      <c r="W23" s="280"/>
      <c r="X23" s="280">
        <v>126000</v>
      </c>
      <c r="Y23" s="280">
        <f>Z23+AC23</f>
        <v>294159</v>
      </c>
      <c r="Z23" s="280">
        <v>2081</v>
      </c>
      <c r="AA23" s="280"/>
      <c r="AB23" s="280"/>
      <c r="AC23" s="280">
        <v>292078</v>
      </c>
      <c r="AD23" s="280">
        <v>217555</v>
      </c>
      <c r="AE23" s="280">
        <v>2081</v>
      </c>
      <c r="AF23" s="280"/>
      <c r="AG23" s="280"/>
      <c r="AH23" s="280">
        <v>215474</v>
      </c>
      <c r="AI23" s="280">
        <v>76493</v>
      </c>
      <c r="AJ23" s="280"/>
      <c r="AK23" s="280"/>
      <c r="AL23" s="280"/>
      <c r="AM23" s="280">
        <f>AI23</f>
        <v>76493</v>
      </c>
      <c r="AN23" s="294"/>
      <c r="AO23" s="4"/>
      <c r="AP23" s="9"/>
    </row>
    <row r="24" spans="1:42" s="7" customFormat="1" ht="39" customHeight="1">
      <c r="A24" s="276" t="s">
        <v>39</v>
      </c>
      <c r="B24" s="402" t="s">
        <v>45</v>
      </c>
      <c r="C24" s="402"/>
      <c r="D24" s="277"/>
      <c r="E24" s="268"/>
      <c r="F24" s="268"/>
      <c r="G24" s="268"/>
      <c r="H24" s="268"/>
      <c r="I24" s="270">
        <f>I25</f>
        <v>153655</v>
      </c>
      <c r="J24" s="270">
        <f aca="true" t="shared" si="6" ref="J24:AM24">J25</f>
        <v>32054</v>
      </c>
      <c r="K24" s="270">
        <f t="shared" si="6"/>
        <v>0</v>
      </c>
      <c r="L24" s="271"/>
      <c r="M24" s="270">
        <f>M25</f>
        <v>121151</v>
      </c>
      <c r="N24" s="270">
        <f t="shared" si="6"/>
        <v>84806</v>
      </c>
      <c r="O24" s="270">
        <f t="shared" si="6"/>
        <v>36345</v>
      </c>
      <c r="P24" s="270">
        <f t="shared" si="6"/>
        <v>31500</v>
      </c>
      <c r="Q24" s="270">
        <f t="shared" si="6"/>
        <v>0</v>
      </c>
      <c r="R24" s="270">
        <f t="shared" si="6"/>
        <v>31500</v>
      </c>
      <c r="S24" s="270">
        <f t="shared" si="6"/>
        <v>9333</v>
      </c>
      <c r="T24" s="270">
        <f t="shared" si="6"/>
        <v>0</v>
      </c>
      <c r="U24" s="270">
        <f t="shared" si="6"/>
        <v>9333</v>
      </c>
      <c r="V24" s="270">
        <f t="shared" si="6"/>
        <v>31500</v>
      </c>
      <c r="W24" s="270">
        <f t="shared" si="6"/>
        <v>0</v>
      </c>
      <c r="X24" s="270">
        <f t="shared" si="6"/>
        <v>31500</v>
      </c>
      <c r="Y24" s="270">
        <f t="shared" si="6"/>
        <v>84806</v>
      </c>
      <c r="Z24" s="270">
        <f t="shared" si="6"/>
        <v>0</v>
      </c>
      <c r="AA24" s="270">
        <f t="shared" si="6"/>
        <v>0</v>
      </c>
      <c r="AB24" s="270"/>
      <c r="AC24" s="270">
        <f t="shared" si="6"/>
        <v>84806</v>
      </c>
      <c r="AD24" s="273">
        <v>51500</v>
      </c>
      <c r="AE24" s="273">
        <v>0</v>
      </c>
      <c r="AF24" s="273">
        <v>0</v>
      </c>
      <c r="AG24" s="273">
        <v>0</v>
      </c>
      <c r="AH24" s="273">
        <v>51500</v>
      </c>
      <c r="AI24" s="270">
        <f t="shared" si="6"/>
        <v>33000</v>
      </c>
      <c r="AJ24" s="270">
        <f t="shared" si="6"/>
        <v>0</v>
      </c>
      <c r="AK24" s="270">
        <f t="shared" si="6"/>
        <v>0</v>
      </c>
      <c r="AL24" s="270"/>
      <c r="AM24" s="270">
        <f t="shared" si="6"/>
        <v>33000</v>
      </c>
      <c r="AN24" s="270"/>
      <c r="AO24" s="4"/>
      <c r="AP24" s="1"/>
    </row>
    <row r="25" spans="1:42" s="7" customFormat="1" ht="39" customHeight="1">
      <c r="A25" s="276"/>
      <c r="B25" s="403" t="str">
        <f>B21</f>
        <v>Dự án dự kiến  hoàn thành sau năm 2023</v>
      </c>
      <c r="C25" s="403"/>
      <c r="D25" s="268"/>
      <c r="E25" s="268"/>
      <c r="F25" s="268"/>
      <c r="G25" s="268"/>
      <c r="H25" s="268"/>
      <c r="I25" s="270">
        <f>I27</f>
        <v>153655</v>
      </c>
      <c r="J25" s="270">
        <f>J27</f>
        <v>32054</v>
      </c>
      <c r="K25" s="270">
        <f>K27</f>
        <v>0</v>
      </c>
      <c r="L25" s="271"/>
      <c r="M25" s="270">
        <f aca="true" t="shared" si="7" ref="M25:AM25">M27</f>
        <v>121151</v>
      </c>
      <c r="N25" s="270">
        <f t="shared" si="7"/>
        <v>84806</v>
      </c>
      <c r="O25" s="270">
        <f t="shared" si="7"/>
        <v>36345</v>
      </c>
      <c r="P25" s="270">
        <f t="shared" si="7"/>
        <v>31500</v>
      </c>
      <c r="Q25" s="270">
        <f t="shared" si="7"/>
        <v>0</v>
      </c>
      <c r="R25" s="270">
        <f t="shared" si="7"/>
        <v>31500</v>
      </c>
      <c r="S25" s="270">
        <f>S27</f>
        <v>9333</v>
      </c>
      <c r="T25" s="270">
        <f>T27</f>
        <v>0</v>
      </c>
      <c r="U25" s="270">
        <f>U27</f>
        <v>9333</v>
      </c>
      <c r="V25" s="270">
        <f t="shared" si="7"/>
        <v>31500</v>
      </c>
      <c r="W25" s="270">
        <f t="shared" si="7"/>
        <v>0</v>
      </c>
      <c r="X25" s="270">
        <f t="shared" si="7"/>
        <v>31500</v>
      </c>
      <c r="Y25" s="270">
        <f t="shared" si="7"/>
        <v>84806</v>
      </c>
      <c r="Z25" s="270">
        <f t="shared" si="7"/>
        <v>0</v>
      </c>
      <c r="AA25" s="270">
        <f t="shared" si="7"/>
        <v>0</v>
      </c>
      <c r="AB25" s="270"/>
      <c r="AC25" s="270">
        <f t="shared" si="7"/>
        <v>84806</v>
      </c>
      <c r="AD25" s="273">
        <v>51500</v>
      </c>
      <c r="AE25" s="273">
        <v>0</v>
      </c>
      <c r="AF25" s="273">
        <v>0</v>
      </c>
      <c r="AG25" s="273">
        <v>0</v>
      </c>
      <c r="AH25" s="273">
        <v>51500</v>
      </c>
      <c r="AI25" s="270">
        <f t="shared" si="7"/>
        <v>33000</v>
      </c>
      <c r="AJ25" s="270">
        <f t="shared" si="7"/>
        <v>0</v>
      </c>
      <c r="AK25" s="270">
        <f t="shared" si="7"/>
        <v>0</v>
      </c>
      <c r="AL25" s="270"/>
      <c r="AM25" s="270">
        <f t="shared" si="7"/>
        <v>33000</v>
      </c>
      <c r="AN25" s="270"/>
      <c r="AO25" s="4"/>
      <c r="AP25" s="1"/>
    </row>
    <row r="26" spans="1:42" s="7" customFormat="1" ht="33" customHeight="1">
      <c r="A26" s="267"/>
      <c r="B26" s="403" t="s">
        <v>8</v>
      </c>
      <c r="C26" s="403"/>
      <c r="D26" s="268"/>
      <c r="E26" s="268"/>
      <c r="F26" s="268"/>
      <c r="G26" s="268"/>
      <c r="H26" s="268"/>
      <c r="I26" s="270"/>
      <c r="J26" s="270"/>
      <c r="K26" s="270"/>
      <c r="L26" s="271"/>
      <c r="M26" s="270"/>
      <c r="N26" s="270"/>
      <c r="O26" s="270"/>
      <c r="P26" s="270"/>
      <c r="Q26" s="270"/>
      <c r="R26" s="270"/>
      <c r="S26" s="270"/>
      <c r="T26" s="270"/>
      <c r="U26" s="270"/>
      <c r="V26" s="270"/>
      <c r="W26" s="270"/>
      <c r="X26" s="270"/>
      <c r="Y26" s="270"/>
      <c r="Z26" s="270"/>
      <c r="AA26" s="270"/>
      <c r="AB26" s="270"/>
      <c r="AC26" s="270"/>
      <c r="AD26" s="273"/>
      <c r="AE26" s="273"/>
      <c r="AF26" s="273"/>
      <c r="AG26" s="273"/>
      <c r="AH26" s="273"/>
      <c r="AI26" s="270"/>
      <c r="AJ26" s="270"/>
      <c r="AK26" s="270"/>
      <c r="AL26" s="270"/>
      <c r="AM26" s="270"/>
      <c r="AN26" s="281"/>
      <c r="AO26" s="4"/>
      <c r="AP26" s="1"/>
    </row>
    <row r="27" spans="1:42" s="7" customFormat="1" ht="62.25">
      <c r="A27" s="267"/>
      <c r="B27" s="282" t="s">
        <v>46</v>
      </c>
      <c r="C27" s="282">
        <v>7847201</v>
      </c>
      <c r="D27" s="278" t="s">
        <v>157</v>
      </c>
      <c r="E27" s="278" t="s">
        <v>29</v>
      </c>
      <c r="F27" s="295" t="s">
        <v>422</v>
      </c>
      <c r="G27" s="278" t="s">
        <v>47</v>
      </c>
      <c r="H27" s="284" t="s">
        <v>48</v>
      </c>
      <c r="I27" s="285">
        <v>153655</v>
      </c>
      <c r="J27" s="285">
        <v>32054</v>
      </c>
      <c r="K27" s="270"/>
      <c r="L27" s="167" t="s">
        <v>49</v>
      </c>
      <c r="M27" s="285">
        <v>121151</v>
      </c>
      <c r="N27" s="285">
        <v>84806</v>
      </c>
      <c r="O27" s="285">
        <f>M27-N27</f>
        <v>36345</v>
      </c>
      <c r="P27" s="238">
        <f>Q27+R27</f>
        <v>31500</v>
      </c>
      <c r="Q27" s="270"/>
      <c r="R27" s="238">
        <v>31500</v>
      </c>
      <c r="S27" s="238">
        <f>T27+U27</f>
        <v>9333</v>
      </c>
      <c r="T27" s="238"/>
      <c r="U27" s="238">
        <v>9333</v>
      </c>
      <c r="V27" s="238">
        <f>W27+X27</f>
        <v>31500</v>
      </c>
      <c r="W27" s="238"/>
      <c r="X27" s="238">
        <v>31500</v>
      </c>
      <c r="Y27" s="238">
        <f>Z27+AC27</f>
        <v>84806</v>
      </c>
      <c r="Z27" s="270"/>
      <c r="AA27" s="270"/>
      <c r="AB27" s="270"/>
      <c r="AC27" s="238">
        <v>84806</v>
      </c>
      <c r="AD27" s="280">
        <v>51500</v>
      </c>
      <c r="AE27" s="273"/>
      <c r="AF27" s="273"/>
      <c r="AG27" s="273"/>
      <c r="AH27" s="280">
        <v>51500</v>
      </c>
      <c r="AI27" s="238">
        <f>AJ27+AM27</f>
        <v>33000</v>
      </c>
      <c r="AJ27" s="270"/>
      <c r="AK27" s="270"/>
      <c r="AL27" s="270"/>
      <c r="AM27" s="169">
        <v>33000</v>
      </c>
      <c r="AN27" s="281"/>
      <c r="AO27" s="257"/>
      <c r="AP27" s="1"/>
    </row>
    <row r="28" spans="1:40" ht="18">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row>
    <row r="29" spans="1:40" ht="18">
      <c r="A29" s="251"/>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row>
    <row r="30" spans="1:40" ht="18">
      <c r="A30" s="251"/>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row>
    <row r="31" spans="1:40" ht="18">
      <c r="A31" s="251"/>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row>
    <row r="32" spans="1:40" ht="18">
      <c r="A32" s="251"/>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row>
    <row r="33" spans="1:40" ht="18">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row>
    <row r="34" spans="1:40" ht="18">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row>
    <row r="35" spans="1:40" ht="18">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row>
    <row r="36" spans="1:40" ht="18">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row>
    <row r="37" spans="1:40" ht="18">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row>
    <row r="38" spans="1:40" ht="18">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row>
    <row r="39" spans="1:40" ht="18">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row>
    <row r="40" spans="1:40" ht="18">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row>
    <row r="41" spans="1:40" ht="18">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row>
    <row r="42" spans="1:40" ht="18">
      <c r="A42" s="251"/>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row>
    <row r="43" spans="1:40" ht="18">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row>
    <row r="44" spans="1:40" ht="18">
      <c r="A44" s="251"/>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row>
    <row r="45" spans="1:40" ht="18">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row>
    <row r="46" spans="1:40" ht="18">
      <c r="A46" s="251"/>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row>
    <row r="47" spans="1:40" ht="18">
      <c r="A47" s="251"/>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row>
    <row r="48" spans="1:40" ht="18">
      <c r="A48" s="251"/>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row>
    <row r="49" spans="1:40" ht="18">
      <c r="A49" s="251"/>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row>
    <row r="50" spans="1:40" ht="18">
      <c r="A50" s="251"/>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row>
    <row r="51" spans="1:40" ht="18">
      <c r="A51" s="251"/>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row>
    <row r="52" spans="1:40" ht="18">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row>
    <row r="53" spans="1:40" ht="18">
      <c r="A53" s="251"/>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row>
    <row r="54" spans="1:40" ht="18">
      <c r="A54" s="251"/>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row>
    <row r="55" spans="1:40" ht="18">
      <c r="A55" s="251"/>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row>
    <row r="56" spans="1:40" ht="18">
      <c r="A56" s="251"/>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row>
    <row r="57" spans="1:40" ht="18">
      <c r="A57" s="251"/>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row>
    <row r="58" spans="1:40" ht="18">
      <c r="A58" s="251"/>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row>
    <row r="59" spans="1:40" ht="18">
      <c r="A59" s="251"/>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row>
    <row r="60" spans="1:40" ht="18">
      <c r="A60" s="251"/>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row>
    <row r="61" spans="1:40" ht="18">
      <c r="A61" s="251"/>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row>
    <row r="62" spans="1:40" ht="18">
      <c r="A62" s="251"/>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row>
    <row r="63" spans="1:40" ht="18">
      <c r="A63" s="251"/>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row>
    <row r="64" spans="1:40" ht="18">
      <c r="A64" s="251"/>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row>
    <row r="65" spans="1:40" ht="18">
      <c r="A65" s="251"/>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row>
    <row r="66" spans="1:40" ht="18">
      <c r="A66" s="251"/>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row>
    <row r="67" spans="1:40" ht="18">
      <c r="A67" s="251"/>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row>
    <row r="68" spans="1:40" ht="18">
      <c r="A68" s="251"/>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row>
    <row r="69" spans="1:40" ht="18">
      <c r="A69" s="251"/>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row>
    <row r="70" spans="1:40" ht="18">
      <c r="A70" s="251"/>
      <c r="B70" s="251"/>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row>
    <row r="71" spans="1:40" ht="18">
      <c r="A71" s="251"/>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row>
    <row r="72" spans="1:40" ht="18">
      <c r="A72" s="251"/>
      <c r="B72" s="251"/>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row>
    <row r="73" spans="1:40" ht="18">
      <c r="A73" s="251"/>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row>
    <row r="74" spans="1:40" ht="18">
      <c r="A74" s="251"/>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row>
    <row r="75" spans="1:40" ht="18">
      <c r="A75" s="251"/>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row>
    <row r="76" spans="1:40" ht="18">
      <c r="A76" s="251"/>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row>
    <row r="77" spans="1:40" ht="18">
      <c r="A77" s="251"/>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row>
    <row r="78" spans="1:40" ht="18">
      <c r="A78" s="251"/>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row>
    <row r="79" spans="1:40" ht="18">
      <c r="A79" s="251"/>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row>
    <row r="80" spans="1:40" ht="18">
      <c r="A80" s="251"/>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row>
    <row r="81" spans="1:40" ht="18">
      <c r="A81" s="251"/>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row>
    <row r="82" spans="1:40" ht="18">
      <c r="A82" s="251"/>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row>
    <row r="83" spans="1:40" ht="18">
      <c r="A83" s="251"/>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row>
    <row r="84" spans="1:40" ht="18">
      <c r="A84" s="251"/>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row>
    <row r="85" spans="1:40" ht="18">
      <c r="A85" s="251"/>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row>
    <row r="86" spans="1:40" ht="18">
      <c r="A86" s="251"/>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row>
    <row r="87" spans="1:40" ht="18">
      <c r="A87" s="251"/>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row>
    <row r="88" spans="1:40" ht="18">
      <c r="A88" s="251"/>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row>
    <row r="89" spans="1:40" ht="18">
      <c r="A89" s="251"/>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row>
    <row r="90" spans="1:40" ht="18">
      <c r="A90" s="251"/>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row>
    <row r="91" spans="1:40" ht="18">
      <c r="A91" s="251"/>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row>
    <row r="92" spans="1:40" ht="18">
      <c r="A92" s="251"/>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row>
    <row r="93" spans="1:40" ht="18">
      <c r="A93" s="251"/>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row>
    <row r="94" spans="1:40" ht="18">
      <c r="A94" s="251"/>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row>
    <row r="95" spans="1:40" ht="18">
      <c r="A95" s="251"/>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row>
    <row r="96" spans="1:40" ht="18">
      <c r="A96" s="251"/>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row>
    <row r="97" spans="1:40" ht="18">
      <c r="A97" s="251"/>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row>
    <row r="98" spans="1:40" ht="18">
      <c r="A98" s="251"/>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row>
    <row r="99" spans="1:40" ht="18">
      <c r="A99" s="251"/>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row>
    <row r="100" spans="1:40" ht="18">
      <c r="A100" s="251"/>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row>
    <row r="101" spans="1:40" ht="18">
      <c r="A101" s="251"/>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row>
    <row r="102" spans="1:40" ht="18">
      <c r="A102" s="251"/>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row>
    <row r="103" spans="1:40" ht="18">
      <c r="A103" s="251"/>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row>
    <row r="104" spans="1:40" ht="18">
      <c r="A104" s="251"/>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row>
    <row r="105" spans="1:40" ht="18">
      <c r="A105" s="251"/>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row>
    <row r="106" spans="1:40" ht="18">
      <c r="A106" s="251"/>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row>
    <row r="107" spans="1:40" ht="18">
      <c r="A107" s="251"/>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row>
    <row r="108" spans="1:40" ht="18">
      <c r="A108" s="251"/>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row>
    <row r="109" spans="1:40" ht="18">
      <c r="A109" s="251"/>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row>
    <row r="110" spans="1:40" ht="18">
      <c r="A110" s="251"/>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row>
    <row r="111" spans="1:40" ht="18">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row>
    <row r="112" spans="1:40" ht="18">
      <c r="A112" s="251"/>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row>
    <row r="113" spans="1:40" ht="18">
      <c r="A113" s="251"/>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row>
    <row r="114" spans="1:40" ht="18">
      <c r="A114" s="251"/>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row>
    <row r="115" spans="1:40" ht="18">
      <c r="A115" s="251"/>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row>
    <row r="116" spans="1:40" ht="18">
      <c r="A116" s="251"/>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row>
    <row r="117" spans="1:40" ht="18">
      <c r="A117" s="251"/>
      <c r="B117" s="251"/>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251"/>
    </row>
    <row r="118" spans="1:40" ht="18">
      <c r="A118" s="251"/>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row>
    <row r="119" spans="1:40" ht="18">
      <c r="A119" s="251"/>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1"/>
      <c r="AL119" s="251"/>
      <c r="AM119" s="251"/>
      <c r="AN119" s="251"/>
    </row>
    <row r="120" spans="1:40" ht="18">
      <c r="A120" s="251"/>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row>
    <row r="121" spans="1:40" ht="18">
      <c r="A121" s="251"/>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c r="AN121" s="251"/>
    </row>
    <row r="122" spans="1:40" ht="18">
      <c r="A122" s="251"/>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row>
    <row r="123" spans="1:40" ht="18">
      <c r="A123" s="251"/>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row>
    <row r="124" spans="1:40" ht="18">
      <c r="A124" s="251"/>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c r="AM124" s="251"/>
      <c r="AN124" s="251"/>
    </row>
    <row r="125" spans="1:40" ht="18">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c r="AG125" s="251"/>
      <c r="AH125" s="251"/>
      <c r="AI125" s="251"/>
      <c r="AJ125" s="251"/>
      <c r="AK125" s="251"/>
      <c r="AL125" s="251"/>
      <c r="AM125" s="251"/>
      <c r="AN125" s="251"/>
    </row>
    <row r="126" spans="1:40" ht="18">
      <c r="A126" s="251"/>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c r="AN126" s="251"/>
    </row>
    <row r="127" spans="1:40" ht="18">
      <c r="A127" s="251"/>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c r="AN127" s="251"/>
    </row>
    <row r="128" spans="1:40" ht="18">
      <c r="A128" s="251"/>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1"/>
      <c r="AK128" s="251"/>
      <c r="AL128" s="251"/>
      <c r="AM128" s="251"/>
      <c r="AN128" s="251"/>
    </row>
    <row r="129" spans="1:40" ht="18">
      <c r="A129" s="251"/>
      <c r="B129" s="251"/>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251"/>
      <c r="AN129" s="251"/>
    </row>
    <row r="130" spans="1:40" ht="18">
      <c r="A130" s="251"/>
      <c r="B130" s="251"/>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1"/>
      <c r="AM130" s="251"/>
      <c r="AN130" s="251"/>
    </row>
    <row r="131" spans="1:40" ht="18">
      <c r="A131" s="251"/>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c r="AN131" s="251"/>
    </row>
    <row r="132" spans="1:40" ht="18">
      <c r="A132" s="251"/>
      <c r="B132" s="251"/>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c r="AF132" s="251"/>
      <c r="AG132" s="251"/>
      <c r="AH132" s="251"/>
      <c r="AI132" s="251"/>
      <c r="AJ132" s="251"/>
      <c r="AK132" s="251"/>
      <c r="AL132" s="251"/>
      <c r="AM132" s="251"/>
      <c r="AN132" s="251"/>
    </row>
    <row r="133" spans="1:40" ht="18">
      <c r="A133" s="251"/>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c r="AN133" s="251"/>
    </row>
    <row r="134" spans="1:40" ht="18">
      <c r="A134" s="251"/>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row>
    <row r="135" spans="1:40" ht="18">
      <c r="A135" s="251"/>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row>
    <row r="136" spans="1:40" ht="18">
      <c r="A136" s="251"/>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1"/>
      <c r="AN136" s="251"/>
    </row>
    <row r="137" spans="1:40" ht="18">
      <c r="A137" s="251"/>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row>
    <row r="138" spans="1:40" ht="18">
      <c r="A138" s="251"/>
      <c r="B138" s="251"/>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c r="AM138" s="251"/>
      <c r="AN138" s="251"/>
    </row>
    <row r="139" spans="1:40" ht="18">
      <c r="A139" s="251"/>
      <c r="B139" s="251"/>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c r="AN139" s="251"/>
    </row>
    <row r="140" spans="1:40" ht="18">
      <c r="A140" s="251"/>
      <c r="B140" s="251"/>
      <c r="C140" s="251"/>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c r="AM140" s="251"/>
      <c r="AN140" s="251"/>
    </row>
    <row r="141" spans="1:40" ht="18">
      <c r="A141" s="251"/>
      <c r="B141" s="251"/>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c r="AN141" s="251"/>
    </row>
    <row r="142" spans="1:40" ht="18">
      <c r="A142" s="251"/>
      <c r="B142" s="251"/>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1"/>
    </row>
    <row r="143" spans="1:40" ht="18">
      <c r="A143" s="251"/>
      <c r="B143" s="251"/>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row>
    <row r="144" spans="1:40" ht="18">
      <c r="A144" s="251"/>
      <c r="B144" s="251"/>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row>
    <row r="145" spans="1:40" ht="18">
      <c r="A145" s="251"/>
      <c r="B145" s="251"/>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1"/>
    </row>
    <row r="146" spans="1:40" ht="18">
      <c r="A146" s="251"/>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251"/>
    </row>
    <row r="147" spans="1:40" ht="18">
      <c r="A147" s="251"/>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row>
    <row r="148" spans="1:40" ht="18">
      <c r="A148" s="251"/>
      <c r="B148" s="251"/>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c r="AN148" s="251"/>
    </row>
    <row r="149" spans="1:40" ht="18">
      <c r="A149" s="251"/>
      <c r="B149" s="251"/>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row>
    <row r="150" spans="1:40" ht="18">
      <c r="A150" s="251"/>
      <c r="B150" s="251"/>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c r="AN150" s="251"/>
    </row>
    <row r="151" spans="1:40" ht="18">
      <c r="A151" s="251"/>
      <c r="B151" s="251"/>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c r="AN151" s="251"/>
    </row>
    <row r="152" spans="1:40" ht="18">
      <c r="A152" s="251"/>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row>
    <row r="153" spans="1:40" ht="18">
      <c r="A153" s="251"/>
      <c r="B153" s="251"/>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c r="AM153" s="251"/>
      <c r="AN153" s="251"/>
    </row>
    <row r="154" spans="1:40" ht="18">
      <c r="A154" s="251"/>
      <c r="B154" s="251"/>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c r="AN154" s="251"/>
    </row>
    <row r="155" spans="1:40" ht="18">
      <c r="A155" s="251"/>
      <c r="B155" s="251"/>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c r="AN155" s="251"/>
    </row>
    <row r="156" spans="1:40" ht="18">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c r="AN156" s="251"/>
    </row>
    <row r="157" spans="1:40" ht="18">
      <c r="A157" s="251"/>
      <c r="B157" s="251"/>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1"/>
    </row>
    <row r="158" spans="1:40" ht="18">
      <c r="A158" s="251"/>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1"/>
    </row>
    <row r="159" spans="1:40" ht="18">
      <c r="A159" s="251"/>
      <c r="B159" s="251"/>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c r="AN159" s="251"/>
    </row>
    <row r="160" spans="1:40" ht="18">
      <c r="A160" s="251"/>
      <c r="B160" s="251"/>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c r="AN160" s="251"/>
    </row>
    <row r="161" spans="1:40" ht="18">
      <c r="A161" s="251"/>
      <c r="B161" s="251"/>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1"/>
    </row>
    <row r="162" spans="1:40" ht="18">
      <c r="A162" s="251"/>
      <c r="B162" s="251"/>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1"/>
      <c r="AL162" s="251"/>
      <c r="AM162" s="251"/>
      <c r="AN162" s="251"/>
    </row>
    <row r="163" spans="1:40" ht="18">
      <c r="A163" s="251"/>
      <c r="B163" s="251"/>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c r="AN163" s="251"/>
    </row>
    <row r="164" spans="1:40" ht="18">
      <c r="A164" s="251"/>
      <c r="B164" s="251"/>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c r="AF164" s="251"/>
      <c r="AG164" s="251"/>
      <c r="AH164" s="251"/>
      <c r="AI164" s="251"/>
      <c r="AJ164" s="251"/>
      <c r="AK164" s="251"/>
      <c r="AL164" s="251"/>
      <c r="AM164" s="251"/>
      <c r="AN164" s="251"/>
    </row>
    <row r="165" spans="1:40" ht="18">
      <c r="A165" s="251"/>
      <c r="B165" s="251"/>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c r="AM165" s="251"/>
      <c r="AN165" s="251"/>
    </row>
    <row r="166" spans="1:40" ht="18">
      <c r="A166" s="251"/>
      <c r="B166" s="251"/>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c r="AF166" s="251"/>
      <c r="AG166" s="251"/>
      <c r="AH166" s="251"/>
      <c r="AI166" s="251"/>
      <c r="AJ166" s="251"/>
      <c r="AK166" s="251"/>
      <c r="AL166" s="251"/>
      <c r="AM166" s="251"/>
      <c r="AN166" s="251"/>
    </row>
    <row r="167" spans="1:40" ht="18">
      <c r="A167" s="251"/>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c r="AN167" s="251"/>
    </row>
    <row r="168" spans="1:40" ht="18">
      <c r="A168" s="251"/>
      <c r="B168" s="251"/>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c r="AM168" s="251"/>
      <c r="AN168" s="251"/>
    </row>
    <row r="169" spans="1:40" ht="18">
      <c r="A169" s="251"/>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c r="AN169" s="251"/>
    </row>
    <row r="170" spans="1:40" ht="18">
      <c r="A170" s="251"/>
      <c r="B170" s="251"/>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c r="AF170" s="251"/>
      <c r="AG170" s="251"/>
      <c r="AH170" s="251"/>
      <c r="AI170" s="251"/>
      <c r="AJ170" s="251"/>
      <c r="AK170" s="251"/>
      <c r="AL170" s="251"/>
      <c r="AM170" s="251"/>
      <c r="AN170" s="251"/>
    </row>
    <row r="171" spans="1:40" ht="18">
      <c r="A171" s="251"/>
      <c r="B171" s="251"/>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c r="AM171" s="251"/>
      <c r="AN171" s="251"/>
    </row>
    <row r="172" spans="1:40" ht="18">
      <c r="A172" s="251"/>
      <c r="B172" s="251"/>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row>
    <row r="173" spans="1:40" ht="18">
      <c r="A173" s="251"/>
      <c r="B173" s="251"/>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row>
    <row r="174" spans="1:40" ht="18">
      <c r="A174" s="251"/>
      <c r="B174" s="251"/>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row>
    <row r="175" spans="1:40" ht="18">
      <c r="A175" s="251"/>
      <c r="B175" s="251"/>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c r="AN175" s="251"/>
    </row>
    <row r="176" spans="1:40" ht="18">
      <c r="A176" s="251"/>
      <c r="B176" s="251"/>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1"/>
      <c r="AN176" s="251"/>
    </row>
    <row r="177" spans="1:40" ht="18">
      <c r="A177" s="251"/>
      <c r="B177" s="251"/>
      <c r="C177" s="251"/>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row>
    <row r="178" spans="1:40" ht="18">
      <c r="A178" s="251"/>
      <c r="B178" s="251"/>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c r="AF178" s="251"/>
      <c r="AG178" s="251"/>
      <c r="AH178" s="251"/>
      <c r="AI178" s="251"/>
      <c r="AJ178" s="251"/>
      <c r="AK178" s="251"/>
      <c r="AL178" s="251"/>
      <c r="AM178" s="251"/>
      <c r="AN178" s="251"/>
    </row>
    <row r="179" spans="1:40" ht="18">
      <c r="A179" s="251"/>
      <c r="B179" s="251"/>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c r="AG179" s="251"/>
      <c r="AH179" s="251"/>
      <c r="AI179" s="251"/>
      <c r="AJ179" s="251"/>
      <c r="AK179" s="251"/>
      <c r="AL179" s="251"/>
      <c r="AM179" s="251"/>
      <c r="AN179" s="251"/>
    </row>
    <row r="180" spans="1:40" ht="18">
      <c r="A180" s="251"/>
      <c r="B180" s="251"/>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c r="AN180" s="251"/>
    </row>
    <row r="181" spans="1:40" ht="18">
      <c r="A181" s="251"/>
      <c r="B181" s="251"/>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row>
    <row r="182" spans="1:40" ht="18">
      <c r="A182" s="251"/>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row>
    <row r="183" spans="1:40" ht="18">
      <c r="A183" s="251"/>
      <c r="B183" s="251"/>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c r="AN183" s="251"/>
    </row>
    <row r="184" spans="1:40" ht="18">
      <c r="A184" s="251"/>
      <c r="B184" s="251"/>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row>
    <row r="185" spans="1:40" ht="18">
      <c r="A185" s="251"/>
      <c r="B185" s="251"/>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row>
    <row r="186" spans="1:40" ht="18">
      <c r="A186" s="251"/>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row>
    <row r="187" spans="1:40" ht="18">
      <c r="A187" s="251"/>
      <c r="B187" s="251"/>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row>
    <row r="188" spans="1:40" ht="18">
      <c r="A188" s="251"/>
      <c r="B188" s="251"/>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row>
    <row r="189" spans="1:40" ht="18">
      <c r="A189" s="251"/>
      <c r="B189" s="251"/>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row>
    <row r="190" spans="1:40" ht="18">
      <c r="A190" s="251"/>
      <c r="B190" s="251"/>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c r="AN190" s="251"/>
    </row>
    <row r="191" spans="1:40" ht="18">
      <c r="A191" s="251"/>
      <c r="B191" s="251"/>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c r="AN191" s="251"/>
    </row>
    <row r="192" spans="1:40" ht="18">
      <c r="A192" s="251"/>
      <c r="B192" s="251"/>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c r="AN192" s="251"/>
    </row>
    <row r="193" spans="1:40" ht="18">
      <c r="A193" s="251"/>
      <c r="B193" s="251"/>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c r="AN193" s="251"/>
    </row>
    <row r="194" spans="1:40" ht="18">
      <c r="A194" s="251"/>
      <c r="B194" s="251"/>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c r="AN194" s="251"/>
    </row>
    <row r="195" spans="1:40" ht="18">
      <c r="A195" s="251"/>
      <c r="B195" s="251"/>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c r="AF195" s="251"/>
      <c r="AG195" s="251"/>
      <c r="AH195" s="251"/>
      <c r="AI195" s="251"/>
      <c r="AJ195" s="251"/>
      <c r="AK195" s="251"/>
      <c r="AL195" s="251"/>
      <c r="AM195" s="251"/>
      <c r="AN195" s="251"/>
    </row>
    <row r="196" spans="1:40" ht="18">
      <c r="A196" s="251"/>
      <c r="B196" s="251"/>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c r="AG196" s="251"/>
      <c r="AH196" s="251"/>
      <c r="AI196" s="251"/>
      <c r="AJ196" s="251"/>
      <c r="AK196" s="251"/>
      <c r="AL196" s="251"/>
      <c r="AM196" s="251"/>
      <c r="AN196" s="251"/>
    </row>
    <row r="197" spans="1:40" ht="18">
      <c r="A197" s="251"/>
      <c r="B197" s="251"/>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251"/>
      <c r="AK197" s="251"/>
      <c r="AL197" s="251"/>
      <c r="AM197" s="251"/>
      <c r="AN197" s="251"/>
    </row>
    <row r="198" spans="1:40" ht="18">
      <c r="A198" s="251"/>
      <c r="B198" s="251"/>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c r="AG198" s="251"/>
      <c r="AH198" s="251"/>
      <c r="AI198" s="251"/>
      <c r="AJ198" s="251"/>
      <c r="AK198" s="251"/>
      <c r="AL198" s="251"/>
      <c r="AM198" s="251"/>
      <c r="AN198" s="251"/>
    </row>
    <row r="199" spans="1:40" ht="18">
      <c r="A199" s="251"/>
      <c r="B199" s="251"/>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1"/>
      <c r="AF199" s="251"/>
      <c r="AG199" s="251"/>
      <c r="AH199" s="251"/>
      <c r="AI199" s="251"/>
      <c r="AJ199" s="251"/>
      <c r="AK199" s="251"/>
      <c r="AL199" s="251"/>
      <c r="AM199" s="251"/>
      <c r="AN199" s="251"/>
    </row>
    <row r="200" spans="1:40" ht="18">
      <c r="A200" s="251"/>
      <c r="B200" s="251"/>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c r="AN200" s="251"/>
    </row>
    <row r="201" spans="1:40" ht="18">
      <c r="A201" s="251"/>
      <c r="B201" s="251"/>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51"/>
      <c r="AL201" s="251"/>
      <c r="AM201" s="251"/>
      <c r="AN201" s="251"/>
    </row>
    <row r="202" spans="1:40" ht="18">
      <c r="A202" s="251"/>
      <c r="B202" s="251"/>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c r="AG202" s="251"/>
      <c r="AH202" s="251"/>
      <c r="AI202" s="251"/>
      <c r="AJ202" s="251"/>
      <c r="AK202" s="251"/>
      <c r="AL202" s="251"/>
      <c r="AM202" s="251"/>
      <c r="AN202" s="251"/>
    </row>
    <row r="203" spans="1:40" ht="18">
      <c r="A203" s="251"/>
      <c r="B203" s="251"/>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251"/>
      <c r="AG203" s="251"/>
      <c r="AH203" s="251"/>
      <c r="AI203" s="251"/>
      <c r="AJ203" s="251"/>
      <c r="AK203" s="251"/>
      <c r="AL203" s="251"/>
      <c r="AM203" s="251"/>
      <c r="AN203" s="251"/>
    </row>
    <row r="204" spans="1:40" ht="18">
      <c r="A204" s="251"/>
      <c r="B204" s="251"/>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c r="AF204" s="251"/>
      <c r="AG204" s="251"/>
      <c r="AH204" s="251"/>
      <c r="AI204" s="251"/>
      <c r="AJ204" s="251"/>
      <c r="AK204" s="251"/>
      <c r="AL204" s="251"/>
      <c r="AM204" s="251"/>
      <c r="AN204" s="251"/>
    </row>
    <row r="205" spans="1:40" ht="18">
      <c r="A205" s="251"/>
      <c r="B205" s="251"/>
      <c r="C205" s="251"/>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c r="AF205" s="251"/>
      <c r="AG205" s="251"/>
      <c r="AH205" s="251"/>
      <c r="AI205" s="251"/>
      <c r="AJ205" s="251"/>
      <c r="AK205" s="251"/>
      <c r="AL205" s="251"/>
      <c r="AM205" s="251"/>
      <c r="AN205" s="251"/>
    </row>
    <row r="206" spans="1:40" ht="18">
      <c r="A206" s="251"/>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c r="AM206" s="251"/>
      <c r="AN206" s="251"/>
    </row>
    <row r="207" spans="1:40" ht="18">
      <c r="A207" s="251"/>
      <c r="B207" s="251"/>
      <c r="C207" s="251"/>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1"/>
      <c r="Z207" s="251"/>
      <c r="AA207" s="251"/>
      <c r="AB207" s="251"/>
      <c r="AC207" s="251"/>
      <c r="AD207" s="251"/>
      <c r="AE207" s="251"/>
      <c r="AF207" s="251"/>
      <c r="AG207" s="251"/>
      <c r="AH207" s="251"/>
      <c r="AI207" s="251"/>
      <c r="AJ207" s="251"/>
      <c r="AK207" s="251"/>
      <c r="AL207" s="251"/>
      <c r="AM207" s="251"/>
      <c r="AN207" s="251"/>
    </row>
    <row r="208" spans="1:40" ht="18">
      <c r="A208" s="251"/>
      <c r="B208" s="251"/>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c r="AF208" s="251"/>
      <c r="AG208" s="251"/>
      <c r="AH208" s="251"/>
      <c r="AI208" s="251"/>
      <c r="AJ208" s="251"/>
      <c r="AK208" s="251"/>
      <c r="AL208" s="251"/>
      <c r="AM208" s="251"/>
      <c r="AN208" s="251"/>
    </row>
    <row r="209" spans="1:40" ht="18">
      <c r="A209" s="251"/>
      <c r="B209" s="251"/>
      <c r="C209" s="251"/>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c r="AF209" s="251"/>
      <c r="AG209" s="251"/>
      <c r="AH209" s="251"/>
      <c r="AI209" s="251"/>
      <c r="AJ209" s="251"/>
      <c r="AK209" s="251"/>
      <c r="AL209" s="251"/>
      <c r="AM209" s="251"/>
      <c r="AN209" s="251"/>
    </row>
    <row r="210" spans="1:40" ht="18">
      <c r="A210" s="251"/>
      <c r="B210" s="251"/>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1"/>
      <c r="AL210" s="251"/>
      <c r="AM210" s="251"/>
      <c r="AN210" s="251"/>
    </row>
    <row r="211" spans="1:40" ht="18">
      <c r="A211" s="251"/>
      <c r="B211" s="251"/>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251"/>
      <c r="AN211" s="251"/>
    </row>
    <row r="212" spans="1:40" ht="18">
      <c r="A212" s="251"/>
      <c r="B212" s="251"/>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c r="AN212" s="251"/>
    </row>
    <row r="213" spans="1:40" ht="18">
      <c r="A213" s="251"/>
      <c r="B213" s="251"/>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row>
    <row r="214" spans="1:40" ht="18">
      <c r="A214" s="251"/>
      <c r="B214" s="251"/>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row>
    <row r="215" spans="1:40" ht="18">
      <c r="A215" s="251"/>
      <c r="B215" s="251"/>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c r="AN215" s="251"/>
    </row>
    <row r="216" spans="1:40" ht="18">
      <c r="A216" s="251"/>
      <c r="B216" s="251"/>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c r="AJ216" s="251"/>
      <c r="AK216" s="251"/>
      <c r="AL216" s="251"/>
      <c r="AM216" s="251"/>
      <c r="AN216" s="251"/>
    </row>
    <row r="217" spans="1:40" ht="18">
      <c r="A217" s="251"/>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c r="AN217" s="251"/>
    </row>
    <row r="218" spans="1:40" ht="18">
      <c r="A218" s="251"/>
      <c r="B218" s="251"/>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251"/>
      <c r="AN218" s="251"/>
    </row>
    <row r="219" spans="1:40" ht="18">
      <c r="A219" s="251"/>
      <c r="B219" s="251"/>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51"/>
      <c r="AN219" s="251"/>
    </row>
    <row r="220" spans="1:40" ht="18">
      <c r="A220" s="251"/>
      <c r="B220" s="251"/>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251"/>
      <c r="AN220" s="251"/>
    </row>
    <row r="221" spans="1:40" ht="18">
      <c r="A221" s="251"/>
      <c r="B221" s="251"/>
      <c r="C221" s="251"/>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1"/>
      <c r="Z221" s="251"/>
      <c r="AA221" s="251"/>
      <c r="AB221" s="251"/>
      <c r="AC221" s="251"/>
      <c r="AD221" s="251"/>
      <c r="AE221" s="251"/>
      <c r="AF221" s="251"/>
      <c r="AG221" s="251"/>
      <c r="AH221" s="251"/>
      <c r="AI221" s="251"/>
      <c r="AJ221" s="251"/>
      <c r="AK221" s="251"/>
      <c r="AL221" s="251"/>
      <c r="AM221" s="251"/>
      <c r="AN221" s="251"/>
    </row>
    <row r="222" spans="1:40" ht="18">
      <c r="A222" s="251"/>
      <c r="B222" s="251"/>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c r="AF222" s="251"/>
      <c r="AG222" s="251"/>
      <c r="AH222" s="251"/>
      <c r="AI222" s="251"/>
      <c r="AJ222" s="251"/>
      <c r="AK222" s="251"/>
      <c r="AL222" s="251"/>
      <c r="AM222" s="251"/>
      <c r="AN222" s="251"/>
    </row>
    <row r="223" spans="1:40" ht="18">
      <c r="A223" s="251"/>
      <c r="B223" s="251"/>
      <c r="C223" s="251"/>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c r="AF223" s="251"/>
      <c r="AG223" s="251"/>
      <c r="AH223" s="251"/>
      <c r="AI223" s="251"/>
      <c r="AJ223" s="251"/>
      <c r="AK223" s="251"/>
      <c r="AL223" s="251"/>
      <c r="AM223" s="251"/>
      <c r="AN223" s="251"/>
    </row>
    <row r="224" spans="1:40" ht="18">
      <c r="A224" s="251"/>
      <c r="B224" s="251"/>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251"/>
      <c r="AN224" s="251"/>
    </row>
    <row r="225" spans="1:40" ht="18">
      <c r="A225" s="251"/>
      <c r="B225" s="251"/>
      <c r="C225" s="251"/>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1"/>
      <c r="Z225" s="251"/>
      <c r="AA225" s="251"/>
      <c r="AB225" s="251"/>
      <c r="AC225" s="251"/>
      <c r="AD225" s="251"/>
      <c r="AE225" s="251"/>
      <c r="AF225" s="251"/>
      <c r="AG225" s="251"/>
      <c r="AH225" s="251"/>
      <c r="AI225" s="251"/>
      <c r="AJ225" s="251"/>
      <c r="AK225" s="251"/>
      <c r="AL225" s="251"/>
      <c r="AM225" s="251"/>
      <c r="AN225" s="251"/>
    </row>
    <row r="226" spans="1:40" ht="18">
      <c r="A226" s="251"/>
      <c r="B226" s="251"/>
      <c r="C226" s="251"/>
      <c r="D226" s="251"/>
      <c r="E226" s="251"/>
      <c r="F226" s="251"/>
      <c r="G226" s="251"/>
      <c r="H226" s="251"/>
      <c r="I226" s="251"/>
      <c r="J226" s="251"/>
      <c r="K226" s="251"/>
      <c r="L226" s="251"/>
      <c r="M226" s="251"/>
      <c r="N226" s="251"/>
      <c r="O226" s="251"/>
      <c r="P226" s="251"/>
      <c r="Q226" s="251"/>
      <c r="R226" s="251"/>
      <c r="S226" s="251"/>
      <c r="T226" s="251"/>
      <c r="U226" s="251"/>
      <c r="V226" s="251"/>
      <c r="W226" s="251"/>
      <c r="X226" s="251"/>
      <c r="Y226" s="251"/>
      <c r="Z226" s="251"/>
      <c r="AA226" s="251"/>
      <c r="AB226" s="251"/>
      <c r="AC226" s="251"/>
      <c r="AD226" s="251"/>
      <c r="AE226" s="251"/>
      <c r="AF226" s="251"/>
      <c r="AG226" s="251"/>
      <c r="AH226" s="251"/>
      <c r="AI226" s="251"/>
      <c r="AJ226" s="251"/>
      <c r="AK226" s="251"/>
      <c r="AL226" s="251"/>
      <c r="AM226" s="251"/>
      <c r="AN226" s="251"/>
    </row>
    <row r="227" spans="1:40" ht="18">
      <c r="A227" s="251"/>
      <c r="B227" s="251"/>
      <c r="C227" s="251"/>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251"/>
      <c r="AN227" s="251"/>
    </row>
    <row r="228" spans="1:40" ht="18">
      <c r="A228" s="251"/>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c r="AG228" s="251"/>
      <c r="AH228" s="251"/>
      <c r="AI228" s="251"/>
      <c r="AJ228" s="251"/>
      <c r="AK228" s="251"/>
      <c r="AL228" s="251"/>
      <c r="AM228" s="251"/>
      <c r="AN228" s="251"/>
    </row>
    <row r="229" spans="1:40" ht="18">
      <c r="A229" s="251"/>
      <c r="B229" s="251"/>
      <c r="C229" s="251"/>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c r="AF229" s="251"/>
      <c r="AG229" s="251"/>
      <c r="AH229" s="251"/>
      <c r="AI229" s="251"/>
      <c r="AJ229" s="251"/>
      <c r="AK229" s="251"/>
      <c r="AL229" s="251"/>
      <c r="AM229" s="251"/>
      <c r="AN229" s="251"/>
    </row>
    <row r="230" spans="1:40" ht="18">
      <c r="A230" s="251"/>
      <c r="B230" s="251"/>
      <c r="C230" s="251"/>
      <c r="D230" s="251"/>
      <c r="E230" s="251"/>
      <c r="F230" s="251"/>
      <c r="G230" s="251"/>
      <c r="H230" s="251"/>
      <c r="I230" s="251"/>
      <c r="J230" s="251"/>
      <c r="K230" s="251"/>
      <c r="L230" s="251"/>
      <c r="M230" s="251"/>
      <c r="N230" s="251"/>
      <c r="O230" s="251"/>
      <c r="P230" s="251"/>
      <c r="Q230" s="251"/>
      <c r="R230" s="251"/>
      <c r="S230" s="251"/>
      <c r="T230" s="251"/>
      <c r="U230" s="251"/>
      <c r="V230" s="251"/>
      <c r="W230" s="251"/>
      <c r="X230" s="251"/>
      <c r="Y230" s="251"/>
      <c r="Z230" s="251"/>
      <c r="AA230" s="251"/>
      <c r="AB230" s="251"/>
      <c r="AC230" s="251"/>
      <c r="AD230" s="251"/>
      <c r="AE230" s="251"/>
      <c r="AF230" s="251"/>
      <c r="AG230" s="251"/>
      <c r="AH230" s="251"/>
      <c r="AI230" s="251"/>
      <c r="AJ230" s="251"/>
      <c r="AK230" s="251"/>
      <c r="AL230" s="251"/>
      <c r="AM230" s="251"/>
      <c r="AN230" s="251"/>
    </row>
    <row r="231" spans="1:40" ht="18">
      <c r="A231" s="251"/>
      <c r="B231" s="251"/>
      <c r="C231" s="251"/>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c r="AF231" s="251"/>
      <c r="AG231" s="251"/>
      <c r="AH231" s="251"/>
      <c r="AI231" s="251"/>
      <c r="AJ231" s="251"/>
      <c r="AK231" s="251"/>
      <c r="AL231" s="251"/>
      <c r="AM231" s="251"/>
      <c r="AN231" s="251"/>
    </row>
    <row r="232" spans="1:40" ht="18">
      <c r="A232" s="251"/>
      <c r="B232" s="251"/>
      <c r="C232" s="251"/>
      <c r="D232" s="251"/>
      <c r="E232" s="251"/>
      <c r="F232" s="251"/>
      <c r="G232" s="25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row>
    <row r="233" spans="1:40" ht="18">
      <c r="A233" s="251"/>
      <c r="B233" s="251"/>
      <c r="C233" s="251"/>
      <c r="D233" s="251"/>
      <c r="E233" s="251"/>
      <c r="F233" s="251"/>
      <c r="G233" s="251"/>
      <c r="H233" s="251"/>
      <c r="I233" s="251"/>
      <c r="J233" s="251"/>
      <c r="K233" s="251"/>
      <c r="L233" s="251"/>
      <c r="M233" s="251"/>
      <c r="N233" s="251"/>
      <c r="O233" s="251"/>
      <c r="P233" s="251"/>
      <c r="Q233" s="251"/>
      <c r="R233" s="251"/>
      <c r="S233" s="251"/>
      <c r="T233" s="251"/>
      <c r="U233" s="251"/>
      <c r="V233" s="251"/>
      <c r="W233" s="251"/>
      <c r="X233" s="251"/>
      <c r="Y233" s="251"/>
      <c r="Z233" s="251"/>
      <c r="AA233" s="251"/>
      <c r="AB233" s="251"/>
      <c r="AC233" s="251"/>
      <c r="AD233" s="251"/>
      <c r="AE233" s="251"/>
      <c r="AF233" s="251"/>
      <c r="AG233" s="251"/>
      <c r="AH233" s="251"/>
      <c r="AI233" s="251"/>
      <c r="AJ233" s="251"/>
      <c r="AK233" s="251"/>
      <c r="AL233" s="251"/>
      <c r="AM233" s="251"/>
      <c r="AN233" s="251"/>
    </row>
    <row r="234" spans="1:40" ht="18">
      <c r="A234" s="251"/>
      <c r="B234" s="251"/>
      <c r="C234" s="251"/>
      <c r="D234" s="251"/>
      <c r="E234" s="251"/>
      <c r="F234" s="251"/>
      <c r="G234" s="251"/>
      <c r="H234" s="251"/>
      <c r="I234" s="251"/>
      <c r="J234" s="251"/>
      <c r="K234" s="251"/>
      <c r="L234" s="251"/>
      <c r="M234" s="251"/>
      <c r="N234" s="251"/>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251"/>
      <c r="AL234" s="251"/>
      <c r="AM234" s="251"/>
      <c r="AN234" s="251"/>
    </row>
    <row r="235" spans="1:40" ht="18">
      <c r="A235" s="251"/>
      <c r="B235" s="251"/>
      <c r="C235" s="251"/>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251"/>
      <c r="AN235" s="251"/>
    </row>
    <row r="236" spans="1:40" ht="18">
      <c r="A236" s="251"/>
      <c r="B236" s="251"/>
      <c r="C236" s="251"/>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251"/>
      <c r="AF236" s="251"/>
      <c r="AG236" s="251"/>
      <c r="AH236" s="251"/>
      <c r="AI236" s="251"/>
      <c r="AJ236" s="251"/>
      <c r="AK236" s="251"/>
      <c r="AL236" s="251"/>
      <c r="AM236" s="251"/>
      <c r="AN236" s="251"/>
    </row>
    <row r="237" spans="1:40" ht="18">
      <c r="A237" s="251"/>
      <c r="B237" s="251"/>
      <c r="C237" s="251"/>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c r="AG237" s="251"/>
      <c r="AH237" s="251"/>
      <c r="AI237" s="251"/>
      <c r="AJ237" s="251"/>
      <c r="AK237" s="251"/>
      <c r="AL237" s="251"/>
      <c r="AM237" s="251"/>
      <c r="AN237" s="251"/>
    </row>
    <row r="238" spans="1:40" ht="18">
      <c r="A238" s="251"/>
      <c r="B238" s="251"/>
      <c r="C238" s="25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251"/>
      <c r="AN238" s="251"/>
    </row>
    <row r="239" spans="1:40" ht="18">
      <c r="A239" s="251"/>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1"/>
      <c r="AE239" s="251"/>
      <c r="AF239" s="251"/>
      <c r="AG239" s="251"/>
      <c r="AH239" s="251"/>
      <c r="AI239" s="251"/>
      <c r="AJ239" s="251"/>
      <c r="AK239" s="251"/>
      <c r="AL239" s="251"/>
      <c r="AM239" s="251"/>
      <c r="AN239" s="251"/>
    </row>
    <row r="240" spans="1:40" ht="18">
      <c r="A240" s="251"/>
      <c r="B240" s="251"/>
      <c r="C240" s="251"/>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1"/>
      <c r="AE240" s="251"/>
      <c r="AF240" s="251"/>
      <c r="AG240" s="251"/>
      <c r="AH240" s="251"/>
      <c r="AI240" s="251"/>
      <c r="AJ240" s="251"/>
      <c r="AK240" s="251"/>
      <c r="AL240" s="251"/>
      <c r="AM240" s="251"/>
      <c r="AN240" s="251"/>
    </row>
    <row r="241" spans="1:40" ht="18">
      <c r="A241" s="251"/>
      <c r="B241" s="251"/>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251"/>
      <c r="AB241" s="251"/>
      <c r="AC241" s="251"/>
      <c r="AD241" s="251"/>
      <c r="AE241" s="251"/>
      <c r="AF241" s="251"/>
      <c r="AG241" s="251"/>
      <c r="AH241" s="251"/>
      <c r="AI241" s="251"/>
      <c r="AJ241" s="251"/>
      <c r="AK241" s="251"/>
      <c r="AL241" s="251"/>
      <c r="AM241" s="251"/>
      <c r="AN241" s="251"/>
    </row>
    <row r="242" spans="1:40" ht="18">
      <c r="A242" s="251"/>
      <c r="B242" s="251"/>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251"/>
      <c r="AN242" s="251"/>
    </row>
    <row r="243" spans="1:40" ht="18">
      <c r="A243" s="251"/>
      <c r="B243" s="251"/>
      <c r="C243" s="251"/>
      <c r="D243" s="251"/>
      <c r="E243" s="251"/>
      <c r="F243" s="251"/>
      <c r="G243" s="251"/>
      <c r="H243" s="251"/>
      <c r="I243" s="251"/>
      <c r="J243" s="251"/>
      <c r="K243" s="251"/>
      <c r="L243" s="251"/>
      <c r="M243" s="251"/>
      <c r="N243" s="251"/>
      <c r="O243" s="251"/>
      <c r="P243" s="251"/>
      <c r="Q243" s="251"/>
      <c r="R243" s="251"/>
      <c r="S243" s="251"/>
      <c r="T243" s="251"/>
      <c r="U243" s="251"/>
      <c r="V243" s="251"/>
      <c r="W243" s="251"/>
      <c r="X243" s="251"/>
      <c r="Y243" s="251"/>
      <c r="Z243" s="251"/>
      <c r="AA243" s="251"/>
      <c r="AB243" s="251"/>
      <c r="AC243" s="251"/>
      <c r="AD243" s="251"/>
      <c r="AE243" s="251"/>
      <c r="AF243" s="251"/>
      <c r="AG243" s="251"/>
      <c r="AH243" s="251"/>
      <c r="AI243" s="251"/>
      <c r="AJ243" s="251"/>
      <c r="AK243" s="251"/>
      <c r="AL243" s="251"/>
      <c r="AM243" s="251"/>
      <c r="AN243" s="251"/>
    </row>
    <row r="244" spans="1:40" ht="18">
      <c r="A244" s="251"/>
      <c r="B244" s="251"/>
      <c r="C244" s="251"/>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251"/>
      <c r="AD244" s="251"/>
      <c r="AE244" s="251"/>
      <c r="AF244" s="251"/>
      <c r="AG244" s="251"/>
      <c r="AH244" s="251"/>
      <c r="AI244" s="251"/>
      <c r="AJ244" s="251"/>
      <c r="AK244" s="251"/>
      <c r="AL244" s="251"/>
      <c r="AM244" s="251"/>
      <c r="AN244" s="251"/>
    </row>
    <row r="245" spans="1:40" ht="18">
      <c r="A245" s="251"/>
      <c r="B245" s="251"/>
      <c r="C245" s="251"/>
      <c r="D245" s="251"/>
      <c r="E245" s="251"/>
      <c r="F245" s="251"/>
      <c r="G245" s="251"/>
      <c r="H245" s="251"/>
      <c r="I245" s="251"/>
      <c r="J245" s="251"/>
      <c r="K245" s="251"/>
      <c r="L245" s="251"/>
      <c r="M245" s="251"/>
      <c r="N245" s="251"/>
      <c r="O245" s="251"/>
      <c r="P245" s="251"/>
      <c r="Q245" s="251"/>
      <c r="R245" s="251"/>
      <c r="S245" s="251"/>
      <c r="T245" s="251"/>
      <c r="U245" s="251"/>
      <c r="V245" s="251"/>
      <c r="W245" s="251"/>
      <c r="X245" s="251"/>
      <c r="Y245" s="251"/>
      <c r="Z245" s="251"/>
      <c r="AA245" s="251"/>
      <c r="AB245" s="251"/>
      <c r="AC245" s="251"/>
      <c r="AD245" s="251"/>
      <c r="AE245" s="251"/>
      <c r="AF245" s="251"/>
      <c r="AG245" s="251"/>
      <c r="AH245" s="251"/>
      <c r="AI245" s="251"/>
      <c r="AJ245" s="251"/>
      <c r="AK245" s="251"/>
      <c r="AL245" s="251"/>
      <c r="AM245" s="251"/>
      <c r="AN245" s="251"/>
    </row>
    <row r="246" spans="1:40" ht="18">
      <c r="A246" s="251"/>
      <c r="B246" s="251"/>
      <c r="C246" s="25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251"/>
      <c r="AF246" s="251"/>
      <c r="AG246" s="251"/>
      <c r="AH246" s="251"/>
      <c r="AI246" s="251"/>
      <c r="AJ246" s="251"/>
      <c r="AK246" s="251"/>
      <c r="AL246" s="251"/>
      <c r="AM246" s="251"/>
      <c r="AN246" s="251"/>
    </row>
    <row r="247" spans="1:40" ht="18">
      <c r="A247" s="251"/>
      <c r="B247" s="251"/>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1"/>
      <c r="AD247" s="251"/>
      <c r="AE247" s="251"/>
      <c r="AF247" s="251"/>
      <c r="AG247" s="251"/>
      <c r="AH247" s="251"/>
      <c r="AI247" s="251"/>
      <c r="AJ247" s="251"/>
      <c r="AK247" s="251"/>
      <c r="AL247" s="251"/>
      <c r="AM247" s="251"/>
      <c r="AN247" s="251"/>
    </row>
    <row r="248" spans="1:40" ht="18">
      <c r="A248" s="251"/>
      <c r="B248" s="251"/>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c r="AG248" s="251"/>
      <c r="AH248" s="251"/>
      <c r="AI248" s="251"/>
      <c r="AJ248" s="251"/>
      <c r="AK248" s="251"/>
      <c r="AL248" s="251"/>
      <c r="AM248" s="251"/>
      <c r="AN248" s="251"/>
    </row>
    <row r="249" spans="1:40" ht="18">
      <c r="A249" s="251"/>
      <c r="B249" s="251"/>
      <c r="C249" s="25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c r="AN249" s="251"/>
    </row>
    <row r="250" spans="1:40" ht="18">
      <c r="A250" s="251"/>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251"/>
      <c r="AD250" s="251"/>
      <c r="AE250" s="251"/>
      <c r="AF250" s="251"/>
      <c r="AG250" s="251"/>
      <c r="AH250" s="251"/>
      <c r="AI250" s="251"/>
      <c r="AJ250" s="251"/>
      <c r="AK250" s="251"/>
      <c r="AL250" s="251"/>
      <c r="AM250" s="251"/>
      <c r="AN250" s="251"/>
    </row>
    <row r="251" spans="1:40" ht="18">
      <c r="A251" s="251"/>
      <c r="B251" s="251"/>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251"/>
      <c r="AN251" s="251"/>
    </row>
    <row r="252" spans="1:40" ht="18">
      <c r="A252" s="251"/>
      <c r="B252" s="251"/>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251"/>
      <c r="AD252" s="251"/>
      <c r="AE252" s="251"/>
      <c r="AF252" s="251"/>
      <c r="AG252" s="251"/>
      <c r="AH252" s="251"/>
      <c r="AI252" s="251"/>
      <c r="AJ252" s="251"/>
      <c r="AK252" s="251"/>
      <c r="AL252" s="251"/>
      <c r="AM252" s="251"/>
      <c r="AN252" s="251"/>
    </row>
    <row r="253" spans="1:40" ht="18">
      <c r="A253" s="251"/>
      <c r="B253" s="251"/>
      <c r="C253" s="251"/>
      <c r="D253" s="251"/>
      <c r="E253" s="251"/>
      <c r="F253" s="251"/>
      <c r="G253" s="251"/>
      <c r="H253" s="251"/>
      <c r="I253" s="251"/>
      <c r="J253" s="251"/>
      <c r="K253" s="251"/>
      <c r="L253" s="251"/>
      <c r="M253" s="251"/>
      <c r="N253" s="251"/>
      <c r="O253" s="251"/>
      <c r="P253" s="251"/>
      <c r="Q253" s="251"/>
      <c r="R253" s="251"/>
      <c r="S253" s="251"/>
      <c r="T253" s="251"/>
      <c r="U253" s="251"/>
      <c r="V253" s="251"/>
      <c r="W253" s="251"/>
      <c r="X253" s="251"/>
      <c r="Y253" s="251"/>
      <c r="Z253" s="251"/>
      <c r="AA253" s="251"/>
      <c r="AB253" s="251"/>
      <c r="AC253" s="251"/>
      <c r="AD253" s="251"/>
      <c r="AE253" s="251"/>
      <c r="AF253" s="251"/>
      <c r="AG253" s="251"/>
      <c r="AH253" s="251"/>
      <c r="AI253" s="251"/>
      <c r="AJ253" s="251"/>
      <c r="AK253" s="251"/>
      <c r="AL253" s="251"/>
      <c r="AM253" s="251"/>
      <c r="AN253" s="251"/>
    </row>
    <row r="254" spans="1:40" ht="18">
      <c r="A254" s="251"/>
      <c r="B254" s="251"/>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c r="AF254" s="251"/>
      <c r="AG254" s="251"/>
      <c r="AH254" s="251"/>
      <c r="AI254" s="251"/>
      <c r="AJ254" s="251"/>
      <c r="AK254" s="251"/>
      <c r="AL254" s="251"/>
      <c r="AM254" s="251"/>
      <c r="AN254" s="251"/>
    </row>
    <row r="255" spans="1:40" ht="18">
      <c r="A255" s="251"/>
      <c r="B255" s="251"/>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c r="AF255" s="251"/>
      <c r="AG255" s="251"/>
      <c r="AH255" s="251"/>
      <c r="AI255" s="251"/>
      <c r="AJ255" s="251"/>
      <c r="AK255" s="251"/>
      <c r="AL255" s="251"/>
      <c r="AM255" s="251"/>
      <c r="AN255" s="251"/>
    </row>
    <row r="256" spans="1:40" ht="18">
      <c r="A256" s="251"/>
      <c r="B256" s="251"/>
      <c r="C256" s="251"/>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c r="AF256" s="251"/>
      <c r="AG256" s="251"/>
      <c r="AH256" s="251"/>
      <c r="AI256" s="251"/>
      <c r="AJ256" s="251"/>
      <c r="AK256" s="251"/>
      <c r="AL256" s="251"/>
      <c r="AM256" s="251"/>
      <c r="AN256" s="251"/>
    </row>
    <row r="257" spans="1:40" ht="18">
      <c r="A257" s="251"/>
      <c r="B257" s="251"/>
      <c r="C257" s="251"/>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1"/>
      <c r="AC257" s="251"/>
      <c r="AD257" s="251"/>
      <c r="AE257" s="251"/>
      <c r="AF257" s="251"/>
      <c r="AG257" s="251"/>
      <c r="AH257" s="251"/>
      <c r="AI257" s="251"/>
      <c r="AJ257" s="251"/>
      <c r="AK257" s="251"/>
      <c r="AL257" s="251"/>
      <c r="AM257" s="251"/>
      <c r="AN257" s="251"/>
    </row>
    <row r="258" spans="1:40" ht="18">
      <c r="A258" s="251"/>
      <c r="B258" s="251"/>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c r="AF258" s="251"/>
      <c r="AG258" s="251"/>
      <c r="AH258" s="251"/>
      <c r="AI258" s="251"/>
      <c r="AJ258" s="251"/>
      <c r="AK258" s="251"/>
      <c r="AL258" s="251"/>
      <c r="AM258" s="251"/>
      <c r="AN258" s="251"/>
    </row>
    <row r="259" spans="1:40" ht="18">
      <c r="A259" s="251"/>
      <c r="B259" s="251"/>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1"/>
      <c r="AD259" s="251"/>
      <c r="AE259" s="251"/>
      <c r="AF259" s="251"/>
      <c r="AG259" s="251"/>
      <c r="AH259" s="251"/>
      <c r="AI259" s="251"/>
      <c r="AJ259" s="251"/>
      <c r="AK259" s="251"/>
      <c r="AL259" s="251"/>
      <c r="AM259" s="251"/>
      <c r="AN259" s="251"/>
    </row>
    <row r="260" spans="1:40" ht="18">
      <c r="A260" s="251"/>
      <c r="B260" s="251"/>
      <c r="C260" s="251"/>
      <c r="D260" s="251"/>
      <c r="E260" s="251"/>
      <c r="F260" s="251"/>
      <c r="G260" s="251"/>
      <c r="H260" s="251"/>
      <c r="I260" s="251"/>
      <c r="J260" s="251"/>
      <c r="K260" s="251"/>
      <c r="L260" s="251"/>
      <c r="M260" s="251"/>
      <c r="N260" s="251"/>
      <c r="O260" s="251"/>
      <c r="P260" s="251"/>
      <c r="Q260" s="251"/>
      <c r="R260" s="251"/>
      <c r="S260" s="251"/>
      <c r="T260" s="251"/>
      <c r="U260" s="251"/>
      <c r="V260" s="251"/>
      <c r="W260" s="251"/>
      <c r="X260" s="251"/>
      <c r="Y260" s="251"/>
      <c r="Z260" s="251"/>
      <c r="AA260" s="251"/>
      <c r="AB260" s="251"/>
      <c r="AC260" s="251"/>
      <c r="AD260" s="251"/>
      <c r="AE260" s="251"/>
      <c r="AF260" s="251"/>
      <c r="AG260" s="251"/>
      <c r="AH260" s="251"/>
      <c r="AI260" s="251"/>
      <c r="AJ260" s="251"/>
      <c r="AK260" s="251"/>
      <c r="AL260" s="251"/>
      <c r="AM260" s="251"/>
      <c r="AN260" s="251"/>
    </row>
    <row r="261" spans="1:40" ht="18">
      <c r="A261" s="251"/>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c r="AG261" s="251"/>
      <c r="AH261" s="251"/>
      <c r="AI261" s="251"/>
      <c r="AJ261" s="251"/>
      <c r="AK261" s="251"/>
      <c r="AL261" s="251"/>
      <c r="AM261" s="251"/>
      <c r="AN261" s="251"/>
    </row>
    <row r="262" spans="1:40" ht="18">
      <c r="A262" s="251"/>
      <c r="B262" s="251"/>
      <c r="C262" s="251"/>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251"/>
      <c r="AF262" s="251"/>
      <c r="AG262" s="251"/>
      <c r="AH262" s="251"/>
      <c r="AI262" s="251"/>
      <c r="AJ262" s="251"/>
      <c r="AK262" s="251"/>
      <c r="AL262" s="251"/>
      <c r="AM262" s="251"/>
      <c r="AN262" s="251"/>
    </row>
    <row r="263" spans="1:40" ht="18">
      <c r="A263" s="251"/>
      <c r="B263" s="251"/>
      <c r="C263" s="251"/>
      <c r="D263" s="251"/>
      <c r="E263" s="251"/>
      <c r="F263" s="251"/>
      <c r="G263" s="251"/>
      <c r="H263" s="251"/>
      <c r="I263" s="251"/>
      <c r="J263" s="251"/>
      <c r="K263" s="251"/>
      <c r="L263" s="251"/>
      <c r="M263" s="251"/>
      <c r="N263" s="251"/>
      <c r="O263" s="251"/>
      <c r="P263" s="251"/>
      <c r="Q263" s="251"/>
      <c r="R263" s="251"/>
      <c r="S263" s="251"/>
      <c r="T263" s="251"/>
      <c r="U263" s="251"/>
      <c r="V263" s="251"/>
      <c r="W263" s="251"/>
      <c r="X263" s="251"/>
      <c r="Y263" s="251"/>
      <c r="Z263" s="251"/>
      <c r="AA263" s="251"/>
      <c r="AB263" s="251"/>
      <c r="AC263" s="251"/>
      <c r="AD263" s="251"/>
      <c r="AE263" s="251"/>
      <c r="AF263" s="251"/>
      <c r="AG263" s="251"/>
      <c r="AH263" s="251"/>
      <c r="AI263" s="251"/>
      <c r="AJ263" s="251"/>
      <c r="AK263" s="251"/>
      <c r="AL263" s="251"/>
      <c r="AM263" s="251"/>
      <c r="AN263" s="251"/>
    </row>
    <row r="264" spans="1:40" ht="18">
      <c r="A264" s="251"/>
      <c r="B264" s="251"/>
      <c r="C264" s="251"/>
      <c r="D264" s="251"/>
      <c r="E264" s="251"/>
      <c r="F264" s="251"/>
      <c r="G264" s="251"/>
      <c r="H264" s="251"/>
      <c r="I264" s="251"/>
      <c r="J264" s="251"/>
      <c r="K264" s="251"/>
      <c r="L264" s="251"/>
      <c r="M264" s="251"/>
      <c r="N264" s="251"/>
      <c r="O264" s="251"/>
      <c r="P264" s="251"/>
      <c r="Q264" s="251"/>
      <c r="R264" s="251"/>
      <c r="S264" s="251"/>
      <c r="T264" s="251"/>
      <c r="U264" s="251"/>
      <c r="V264" s="251"/>
      <c r="W264" s="251"/>
      <c r="X264" s="251"/>
      <c r="Y264" s="251"/>
      <c r="Z264" s="251"/>
      <c r="AA264" s="251"/>
      <c r="AB264" s="251"/>
      <c r="AC264" s="251"/>
      <c r="AD264" s="251"/>
      <c r="AE264" s="251"/>
      <c r="AF264" s="251"/>
      <c r="AG264" s="251"/>
      <c r="AH264" s="251"/>
      <c r="AI264" s="251"/>
      <c r="AJ264" s="251"/>
      <c r="AK264" s="251"/>
      <c r="AL264" s="251"/>
      <c r="AM264" s="251"/>
      <c r="AN264" s="251"/>
    </row>
    <row r="265" spans="1:40" ht="18">
      <c r="A265" s="251"/>
      <c r="B265" s="251"/>
      <c r="C265" s="251"/>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251"/>
      <c r="AF265" s="251"/>
      <c r="AG265" s="251"/>
      <c r="AH265" s="251"/>
      <c r="AI265" s="251"/>
      <c r="AJ265" s="251"/>
      <c r="AK265" s="251"/>
      <c r="AL265" s="251"/>
      <c r="AM265" s="251"/>
      <c r="AN265" s="251"/>
    </row>
    <row r="266" spans="1:40" ht="18">
      <c r="A266" s="251"/>
      <c r="B266" s="251"/>
      <c r="C266" s="251"/>
      <c r="D266" s="251"/>
      <c r="E266" s="251"/>
      <c r="F266" s="251"/>
      <c r="G266" s="251"/>
      <c r="H266" s="251"/>
      <c r="I266" s="251"/>
      <c r="J266" s="251"/>
      <c r="K266" s="251"/>
      <c r="L266" s="251"/>
      <c r="M266" s="251"/>
      <c r="N266" s="251"/>
      <c r="O266" s="251"/>
      <c r="P266" s="251"/>
      <c r="Q266" s="251"/>
      <c r="R266" s="251"/>
      <c r="S266" s="251"/>
      <c r="T266" s="251"/>
      <c r="U266" s="251"/>
      <c r="V266" s="251"/>
      <c r="W266" s="251"/>
      <c r="X266" s="251"/>
      <c r="Y266" s="251"/>
      <c r="Z266" s="251"/>
      <c r="AA266" s="251"/>
      <c r="AB266" s="251"/>
      <c r="AC266" s="251"/>
      <c r="AD266" s="251"/>
      <c r="AE266" s="251"/>
      <c r="AF266" s="251"/>
      <c r="AG266" s="251"/>
      <c r="AH266" s="251"/>
      <c r="AI266" s="251"/>
      <c r="AJ266" s="251"/>
      <c r="AK266" s="251"/>
      <c r="AL266" s="251"/>
      <c r="AM266" s="251"/>
      <c r="AN266" s="251"/>
    </row>
    <row r="267" spans="1:40" ht="18">
      <c r="A267" s="251"/>
      <c r="B267" s="251"/>
      <c r="C267" s="251"/>
      <c r="D267" s="251"/>
      <c r="E267" s="251"/>
      <c r="F267" s="251"/>
      <c r="G267" s="251"/>
      <c r="H267" s="251"/>
      <c r="I267" s="251"/>
      <c r="J267" s="251"/>
      <c r="K267" s="251"/>
      <c r="L267" s="251"/>
      <c r="M267" s="251"/>
      <c r="N267" s="251"/>
      <c r="O267" s="251"/>
      <c r="P267" s="251"/>
      <c r="Q267" s="251"/>
      <c r="R267" s="251"/>
      <c r="S267" s="251"/>
      <c r="T267" s="251"/>
      <c r="U267" s="251"/>
      <c r="V267" s="251"/>
      <c r="W267" s="251"/>
      <c r="X267" s="251"/>
      <c r="Y267" s="251"/>
      <c r="Z267" s="251"/>
      <c r="AA267" s="251"/>
      <c r="AB267" s="251"/>
      <c r="AC267" s="251"/>
      <c r="AD267" s="251"/>
      <c r="AE267" s="251"/>
      <c r="AF267" s="251"/>
      <c r="AG267" s="251"/>
      <c r="AH267" s="251"/>
      <c r="AI267" s="251"/>
      <c r="AJ267" s="251"/>
      <c r="AK267" s="251"/>
      <c r="AL267" s="251"/>
      <c r="AM267" s="251"/>
      <c r="AN267" s="251"/>
    </row>
    <row r="268" spans="1:40" ht="18">
      <c r="A268" s="251"/>
      <c r="B268" s="251"/>
      <c r="C268" s="251"/>
      <c r="D268" s="251"/>
      <c r="E268" s="251"/>
      <c r="F268" s="251"/>
      <c r="G268" s="251"/>
      <c r="H268" s="251"/>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251"/>
      <c r="AF268" s="251"/>
      <c r="AG268" s="251"/>
      <c r="AH268" s="251"/>
      <c r="AI268" s="251"/>
      <c r="AJ268" s="251"/>
      <c r="AK268" s="251"/>
      <c r="AL268" s="251"/>
      <c r="AM268" s="251"/>
      <c r="AN268" s="251"/>
    </row>
    <row r="269" spans="1:40" ht="18">
      <c r="A269" s="251"/>
      <c r="B269" s="251"/>
      <c r="C269" s="251"/>
      <c r="D269" s="251"/>
      <c r="E269" s="251"/>
      <c r="F269" s="251"/>
      <c r="G269" s="251"/>
      <c r="H269" s="251"/>
      <c r="I269" s="251"/>
      <c r="J269" s="251"/>
      <c r="K269" s="251"/>
      <c r="L269" s="251"/>
      <c r="M269" s="251"/>
      <c r="N269" s="251"/>
      <c r="O269" s="251"/>
      <c r="P269" s="251"/>
      <c r="Q269" s="251"/>
      <c r="R269" s="251"/>
      <c r="S269" s="251"/>
      <c r="T269" s="251"/>
      <c r="U269" s="251"/>
      <c r="V269" s="251"/>
      <c r="W269" s="251"/>
      <c r="X269" s="251"/>
      <c r="Y269" s="251"/>
      <c r="Z269" s="251"/>
      <c r="AA269" s="251"/>
      <c r="AB269" s="251"/>
      <c r="AC269" s="251"/>
      <c r="AD269" s="251"/>
      <c r="AE269" s="251"/>
      <c r="AF269" s="251"/>
      <c r="AG269" s="251"/>
      <c r="AH269" s="251"/>
      <c r="AI269" s="251"/>
      <c r="AJ269" s="251"/>
      <c r="AK269" s="251"/>
      <c r="AL269" s="251"/>
      <c r="AM269" s="251"/>
      <c r="AN269" s="251"/>
    </row>
    <row r="270" spans="1:40" ht="18">
      <c r="A270" s="251"/>
      <c r="B270" s="251"/>
      <c r="C270" s="251"/>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1"/>
      <c r="AE270" s="251"/>
      <c r="AF270" s="251"/>
      <c r="AG270" s="251"/>
      <c r="AH270" s="251"/>
      <c r="AI270" s="251"/>
      <c r="AJ270" s="251"/>
      <c r="AK270" s="251"/>
      <c r="AL270" s="251"/>
      <c r="AM270" s="251"/>
      <c r="AN270" s="251"/>
    </row>
    <row r="271" spans="1:40" ht="18">
      <c r="A271" s="251"/>
      <c r="B271" s="251"/>
      <c r="C271" s="251"/>
      <c r="D271" s="251"/>
      <c r="E271" s="251"/>
      <c r="F271" s="251"/>
      <c r="G271" s="251"/>
      <c r="H271" s="251"/>
      <c r="I271" s="251"/>
      <c r="J271" s="251"/>
      <c r="K271" s="251"/>
      <c r="L271" s="251"/>
      <c r="M271" s="251"/>
      <c r="N271" s="251"/>
      <c r="O271" s="251"/>
      <c r="P271" s="251"/>
      <c r="Q271" s="251"/>
      <c r="R271" s="251"/>
      <c r="S271" s="251"/>
      <c r="T271" s="251"/>
      <c r="U271" s="251"/>
      <c r="V271" s="251"/>
      <c r="W271" s="251"/>
      <c r="X271" s="251"/>
      <c r="Y271" s="251"/>
      <c r="Z271" s="251"/>
      <c r="AA271" s="251"/>
      <c r="AB271" s="251"/>
      <c r="AC271" s="251"/>
      <c r="AD271" s="251"/>
      <c r="AE271" s="251"/>
      <c r="AF271" s="251"/>
      <c r="AG271" s="251"/>
      <c r="AH271" s="251"/>
      <c r="AI271" s="251"/>
      <c r="AJ271" s="251"/>
      <c r="AK271" s="251"/>
      <c r="AL271" s="251"/>
      <c r="AM271" s="251"/>
      <c r="AN271" s="251"/>
    </row>
    <row r="272" spans="1:40" ht="18">
      <c r="A272" s="251"/>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1"/>
      <c r="AD272" s="251"/>
      <c r="AE272" s="251"/>
      <c r="AF272" s="251"/>
      <c r="AG272" s="251"/>
      <c r="AH272" s="251"/>
      <c r="AI272" s="251"/>
      <c r="AJ272" s="251"/>
      <c r="AK272" s="251"/>
      <c r="AL272" s="251"/>
      <c r="AM272" s="251"/>
      <c r="AN272" s="251"/>
    </row>
    <row r="273" spans="1:40" ht="18">
      <c r="A273" s="251"/>
      <c r="B273" s="251"/>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c r="AG273" s="251"/>
      <c r="AH273" s="251"/>
      <c r="AI273" s="251"/>
      <c r="AJ273" s="251"/>
      <c r="AK273" s="251"/>
      <c r="AL273" s="251"/>
      <c r="AM273" s="251"/>
      <c r="AN273" s="251"/>
    </row>
    <row r="274" spans="1:40" ht="18">
      <c r="A274" s="251"/>
      <c r="B274" s="251"/>
      <c r="C274" s="251"/>
      <c r="D274" s="251"/>
      <c r="E274" s="251"/>
      <c r="F274" s="251"/>
      <c r="G274" s="251"/>
      <c r="H274" s="251"/>
      <c r="I274" s="251"/>
      <c r="J274" s="251"/>
      <c r="K274" s="251"/>
      <c r="L274" s="251"/>
      <c r="M274" s="251"/>
      <c r="N274" s="251"/>
      <c r="O274" s="251"/>
      <c r="P274" s="251"/>
      <c r="Q274" s="251"/>
      <c r="R274" s="251"/>
      <c r="S274" s="251"/>
      <c r="T274" s="251"/>
      <c r="U274" s="251"/>
      <c r="V274" s="251"/>
      <c r="W274" s="251"/>
      <c r="X274" s="251"/>
      <c r="Y274" s="251"/>
      <c r="Z274" s="251"/>
      <c r="AA274" s="251"/>
      <c r="AB274" s="251"/>
      <c r="AC274" s="251"/>
      <c r="AD274" s="251"/>
      <c r="AE274" s="251"/>
      <c r="AF274" s="251"/>
      <c r="AG274" s="251"/>
      <c r="AH274" s="251"/>
      <c r="AI274" s="251"/>
      <c r="AJ274" s="251"/>
      <c r="AK274" s="251"/>
      <c r="AL274" s="251"/>
      <c r="AM274" s="251"/>
      <c r="AN274" s="251"/>
    </row>
    <row r="275" spans="1:40" ht="18">
      <c r="A275" s="251"/>
      <c r="B275" s="251"/>
      <c r="C275" s="251"/>
      <c r="D275" s="251"/>
      <c r="E275" s="251"/>
      <c r="F275" s="251"/>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51"/>
      <c r="AC275" s="251"/>
      <c r="AD275" s="251"/>
      <c r="AE275" s="251"/>
      <c r="AF275" s="251"/>
      <c r="AG275" s="251"/>
      <c r="AH275" s="251"/>
      <c r="AI275" s="251"/>
      <c r="AJ275" s="251"/>
      <c r="AK275" s="251"/>
      <c r="AL275" s="251"/>
      <c r="AM275" s="251"/>
      <c r="AN275" s="251"/>
    </row>
    <row r="276" spans="1:40" ht="18">
      <c r="A276" s="251"/>
      <c r="B276" s="251"/>
      <c r="C276" s="251"/>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251"/>
      <c r="AF276" s="251"/>
      <c r="AG276" s="251"/>
      <c r="AH276" s="251"/>
      <c r="AI276" s="251"/>
      <c r="AJ276" s="251"/>
      <c r="AK276" s="251"/>
      <c r="AL276" s="251"/>
      <c r="AM276" s="251"/>
      <c r="AN276" s="251"/>
    </row>
    <row r="277" spans="1:40" ht="18">
      <c r="A277" s="251"/>
      <c r="B277" s="251"/>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c r="Y277" s="251"/>
      <c r="Z277" s="251"/>
      <c r="AA277" s="251"/>
      <c r="AB277" s="251"/>
      <c r="AC277" s="251"/>
      <c r="AD277" s="251"/>
      <c r="AE277" s="251"/>
      <c r="AF277" s="251"/>
      <c r="AG277" s="251"/>
      <c r="AH277" s="251"/>
      <c r="AI277" s="251"/>
      <c r="AJ277" s="251"/>
      <c r="AK277" s="251"/>
      <c r="AL277" s="251"/>
      <c r="AM277" s="251"/>
      <c r="AN277" s="251"/>
    </row>
    <row r="278" spans="1:40" ht="18">
      <c r="A278" s="251"/>
      <c r="B278" s="251"/>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1"/>
      <c r="AD278" s="251"/>
      <c r="AE278" s="251"/>
      <c r="AF278" s="251"/>
      <c r="AG278" s="251"/>
      <c r="AH278" s="251"/>
      <c r="AI278" s="251"/>
      <c r="AJ278" s="251"/>
      <c r="AK278" s="251"/>
      <c r="AL278" s="251"/>
      <c r="AM278" s="251"/>
      <c r="AN278" s="251"/>
    </row>
    <row r="279" spans="1:40" ht="18">
      <c r="A279" s="251"/>
      <c r="B279" s="251"/>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251"/>
      <c r="AF279" s="251"/>
      <c r="AG279" s="251"/>
      <c r="AH279" s="251"/>
      <c r="AI279" s="251"/>
      <c r="AJ279" s="251"/>
      <c r="AK279" s="251"/>
      <c r="AL279" s="251"/>
      <c r="AM279" s="251"/>
      <c r="AN279" s="251"/>
    </row>
    <row r="280" spans="1:40" ht="18">
      <c r="A280" s="251"/>
      <c r="B280" s="251"/>
      <c r="C280" s="251"/>
      <c r="D280" s="251"/>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row>
    <row r="281" spans="1:40" ht="18">
      <c r="A281" s="251"/>
      <c r="B281" s="251"/>
      <c r="C281" s="251"/>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row>
    <row r="282" spans="1:40" ht="18">
      <c r="A282" s="251"/>
      <c r="B282" s="251"/>
      <c r="C282" s="251"/>
      <c r="D282" s="251"/>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row>
    <row r="283" spans="1:40" ht="18">
      <c r="A283" s="251"/>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row>
    <row r="284" spans="1:40" ht="18">
      <c r="A284" s="251"/>
      <c r="B284" s="251"/>
      <c r="C284" s="251"/>
      <c r="D284" s="251"/>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row>
    <row r="285" spans="1:40" ht="18">
      <c r="A285" s="251"/>
      <c r="B285" s="251"/>
      <c r="C285" s="251"/>
      <c r="D285" s="251"/>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row>
    <row r="286" spans="1:40" ht="18">
      <c r="A286" s="251"/>
      <c r="B286" s="251"/>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row>
    <row r="287" spans="1:40" ht="18">
      <c r="A287" s="251"/>
      <c r="B287" s="251"/>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row>
    <row r="288" spans="1:40" ht="18">
      <c r="A288" s="251"/>
      <c r="B288" s="251"/>
      <c r="C288" s="251"/>
      <c r="D288" s="251"/>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row>
    <row r="289" spans="1:40" ht="18">
      <c r="A289" s="251"/>
      <c r="B289" s="251"/>
      <c r="C289" s="251"/>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row>
    <row r="290" spans="1:40" ht="18">
      <c r="A290" s="251"/>
      <c r="B290" s="251"/>
      <c r="C290" s="251"/>
      <c r="D290" s="251"/>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row>
    <row r="291" spans="1:40" ht="18">
      <c r="A291" s="251"/>
      <c r="B291" s="251"/>
      <c r="C291" s="251"/>
      <c r="D291" s="251"/>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row>
    <row r="292" spans="1:40" ht="18">
      <c r="A292" s="251"/>
      <c r="B292" s="251"/>
      <c r="C292" s="251"/>
      <c r="D292" s="251"/>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row>
    <row r="293" spans="1:40" ht="18">
      <c r="A293" s="251"/>
      <c r="B293" s="251"/>
      <c r="C293" s="251"/>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row>
    <row r="294" spans="1:40" ht="18">
      <c r="A294" s="251"/>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row>
    <row r="295" spans="1:40" ht="18">
      <c r="A295" s="251"/>
      <c r="B295" s="251"/>
      <c r="C295" s="251"/>
      <c r="D295" s="251"/>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row>
    <row r="296" spans="1:40" ht="18">
      <c r="A296" s="251"/>
      <c r="B296" s="251"/>
      <c r="C296" s="251"/>
      <c r="D296" s="251"/>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row>
    <row r="297" spans="1:40" ht="18">
      <c r="A297" s="251"/>
      <c r="B297" s="251"/>
      <c r="C297" s="251"/>
      <c r="D297" s="251"/>
      <c r="E297" s="251"/>
      <c r="F297" s="251"/>
      <c r="G297" s="251"/>
      <c r="H297" s="251"/>
      <c r="I297" s="251"/>
      <c r="J297" s="251"/>
      <c r="K297" s="251"/>
      <c r="L297" s="251"/>
      <c r="M297" s="251"/>
      <c r="N297" s="251"/>
      <c r="O297" s="251"/>
      <c r="P297" s="251"/>
      <c r="Q297" s="251"/>
      <c r="R297" s="251"/>
      <c r="S297" s="251"/>
      <c r="T297" s="251"/>
      <c r="U297" s="251"/>
      <c r="V297" s="251"/>
      <c r="W297" s="251"/>
      <c r="X297" s="251"/>
      <c r="Y297" s="251"/>
      <c r="Z297" s="251"/>
      <c r="AA297" s="251"/>
      <c r="AB297" s="251"/>
      <c r="AC297" s="251"/>
      <c r="AD297" s="251"/>
      <c r="AE297" s="251"/>
      <c r="AF297" s="251"/>
      <c r="AG297" s="251"/>
      <c r="AH297" s="251"/>
      <c r="AI297" s="251"/>
      <c r="AJ297" s="251"/>
      <c r="AK297" s="251"/>
      <c r="AL297" s="251"/>
      <c r="AM297" s="251"/>
      <c r="AN297" s="251"/>
    </row>
    <row r="298" spans="1:40" ht="18">
      <c r="A298" s="251"/>
      <c r="B298" s="251"/>
      <c r="C298" s="251"/>
      <c r="D298" s="251"/>
      <c r="E298" s="251"/>
      <c r="F298" s="251"/>
      <c r="G298" s="251"/>
      <c r="H298" s="251"/>
      <c r="I298" s="251"/>
      <c r="J298" s="251"/>
      <c r="K298" s="251"/>
      <c r="L298" s="251"/>
      <c r="M298" s="251"/>
      <c r="N298" s="251"/>
      <c r="O298" s="251"/>
      <c r="P298" s="251"/>
      <c r="Q298" s="251"/>
      <c r="R298" s="251"/>
      <c r="S298" s="251"/>
      <c r="T298" s="251"/>
      <c r="U298" s="251"/>
      <c r="V298" s="251"/>
      <c r="W298" s="251"/>
      <c r="X298" s="251"/>
      <c r="Y298" s="251"/>
      <c r="Z298" s="251"/>
      <c r="AA298" s="251"/>
      <c r="AB298" s="251"/>
      <c r="AC298" s="251"/>
      <c r="AD298" s="251"/>
      <c r="AE298" s="251"/>
      <c r="AF298" s="251"/>
      <c r="AG298" s="251"/>
      <c r="AH298" s="251"/>
      <c r="AI298" s="251"/>
      <c r="AJ298" s="251"/>
      <c r="AK298" s="251"/>
      <c r="AL298" s="251"/>
      <c r="AM298" s="251"/>
      <c r="AN298" s="251"/>
    </row>
    <row r="299" spans="1:40" ht="18">
      <c r="A299" s="251"/>
      <c r="B299" s="251"/>
      <c r="C299" s="251"/>
      <c r="D299" s="251"/>
      <c r="E299" s="251"/>
      <c r="F299" s="251"/>
      <c r="G299" s="251"/>
      <c r="H299" s="251"/>
      <c r="I299" s="251"/>
      <c r="J299" s="251"/>
      <c r="K299" s="251"/>
      <c r="L299" s="251"/>
      <c r="M299" s="251"/>
      <c r="N299" s="251"/>
      <c r="O299" s="251"/>
      <c r="P299" s="251"/>
      <c r="Q299" s="251"/>
      <c r="R299" s="251"/>
      <c r="S299" s="251"/>
      <c r="T299" s="251"/>
      <c r="U299" s="251"/>
      <c r="V299" s="251"/>
      <c r="W299" s="251"/>
      <c r="X299" s="251"/>
      <c r="Y299" s="251"/>
      <c r="Z299" s="251"/>
      <c r="AA299" s="251"/>
      <c r="AB299" s="251"/>
      <c r="AC299" s="251"/>
      <c r="AD299" s="251"/>
      <c r="AE299" s="251"/>
      <c r="AF299" s="251"/>
      <c r="AG299" s="251"/>
      <c r="AH299" s="251"/>
      <c r="AI299" s="251"/>
      <c r="AJ299" s="251"/>
      <c r="AK299" s="251"/>
      <c r="AL299" s="251"/>
      <c r="AM299" s="251"/>
      <c r="AN299" s="251"/>
    </row>
    <row r="300" spans="1:40" ht="18">
      <c r="A300" s="251"/>
      <c r="B300" s="251"/>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c r="Y300" s="251"/>
      <c r="Z300" s="251"/>
      <c r="AA300" s="251"/>
      <c r="AB300" s="251"/>
      <c r="AC300" s="251"/>
      <c r="AD300" s="251"/>
      <c r="AE300" s="251"/>
      <c r="AF300" s="251"/>
      <c r="AG300" s="251"/>
      <c r="AH300" s="251"/>
      <c r="AI300" s="251"/>
      <c r="AJ300" s="251"/>
      <c r="AK300" s="251"/>
      <c r="AL300" s="251"/>
      <c r="AM300" s="251"/>
      <c r="AN300" s="251"/>
    </row>
    <row r="301" spans="1:40" ht="18">
      <c r="A301" s="251"/>
      <c r="B301" s="251"/>
      <c r="C301" s="251"/>
      <c r="D301" s="251"/>
      <c r="E301" s="251"/>
      <c r="F301" s="251"/>
      <c r="G301" s="251"/>
      <c r="H301" s="251"/>
      <c r="I301" s="251"/>
      <c r="J301" s="251"/>
      <c r="K301" s="251"/>
      <c r="L301" s="251"/>
      <c r="M301" s="251"/>
      <c r="N301" s="251"/>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251"/>
      <c r="AL301" s="251"/>
      <c r="AM301" s="251"/>
      <c r="AN301" s="251"/>
    </row>
    <row r="302" spans="1:40" ht="18">
      <c r="A302" s="251"/>
      <c r="B302" s="251"/>
      <c r="C302" s="251"/>
      <c r="D302" s="251"/>
      <c r="E302" s="251"/>
      <c r="F302" s="251"/>
      <c r="G302" s="251"/>
      <c r="H302" s="251"/>
      <c r="I302" s="251"/>
      <c r="J302" s="251"/>
      <c r="K302" s="251"/>
      <c r="L302" s="251"/>
      <c r="M302" s="251"/>
      <c r="N302" s="251"/>
      <c r="O302" s="251"/>
      <c r="P302" s="251"/>
      <c r="Q302" s="251"/>
      <c r="R302" s="251"/>
      <c r="S302" s="251"/>
      <c r="T302" s="251"/>
      <c r="U302" s="251"/>
      <c r="V302" s="251"/>
      <c r="W302" s="251"/>
      <c r="X302" s="251"/>
      <c r="Y302" s="251"/>
      <c r="Z302" s="251"/>
      <c r="AA302" s="251"/>
      <c r="AB302" s="251"/>
      <c r="AC302" s="251"/>
      <c r="AD302" s="251"/>
      <c r="AE302" s="251"/>
      <c r="AF302" s="251"/>
      <c r="AG302" s="251"/>
      <c r="AH302" s="251"/>
      <c r="AI302" s="251"/>
      <c r="AJ302" s="251"/>
      <c r="AK302" s="251"/>
      <c r="AL302" s="251"/>
      <c r="AM302" s="251"/>
      <c r="AN302" s="251"/>
    </row>
    <row r="303" spans="1:40" ht="18">
      <c r="A303" s="251"/>
      <c r="B303" s="251"/>
      <c r="C303" s="251"/>
      <c r="D303" s="251"/>
      <c r="E303" s="251"/>
      <c r="F303" s="251"/>
      <c r="G303" s="251"/>
      <c r="H303" s="251"/>
      <c r="I303" s="251"/>
      <c r="J303" s="251"/>
      <c r="K303" s="251"/>
      <c r="L303" s="251"/>
      <c r="M303" s="251"/>
      <c r="N303" s="251"/>
      <c r="O303" s="251"/>
      <c r="P303" s="251"/>
      <c r="Q303" s="251"/>
      <c r="R303" s="251"/>
      <c r="S303" s="251"/>
      <c r="T303" s="251"/>
      <c r="U303" s="251"/>
      <c r="V303" s="251"/>
      <c r="W303" s="251"/>
      <c r="X303" s="251"/>
      <c r="Y303" s="251"/>
      <c r="Z303" s="251"/>
      <c r="AA303" s="251"/>
      <c r="AB303" s="251"/>
      <c r="AC303" s="251"/>
      <c r="AD303" s="251"/>
      <c r="AE303" s="251"/>
      <c r="AF303" s="251"/>
      <c r="AG303" s="251"/>
      <c r="AH303" s="251"/>
      <c r="AI303" s="251"/>
      <c r="AJ303" s="251"/>
      <c r="AK303" s="251"/>
      <c r="AL303" s="251"/>
      <c r="AM303" s="251"/>
      <c r="AN303" s="251"/>
    </row>
    <row r="304" spans="1:40" ht="18">
      <c r="A304" s="251"/>
      <c r="B304" s="251"/>
      <c r="C304" s="251"/>
      <c r="D304" s="251"/>
      <c r="E304" s="251"/>
      <c r="F304" s="251"/>
      <c r="G304" s="251"/>
      <c r="H304" s="251"/>
      <c r="I304" s="251"/>
      <c r="J304" s="251"/>
      <c r="K304" s="251"/>
      <c r="L304" s="251"/>
      <c r="M304" s="251"/>
      <c r="N304" s="251"/>
      <c r="O304" s="251"/>
      <c r="P304" s="251"/>
      <c r="Q304" s="251"/>
      <c r="R304" s="251"/>
      <c r="S304" s="251"/>
      <c r="T304" s="251"/>
      <c r="U304" s="251"/>
      <c r="V304" s="251"/>
      <c r="W304" s="251"/>
      <c r="X304" s="251"/>
      <c r="Y304" s="251"/>
      <c r="Z304" s="251"/>
      <c r="AA304" s="251"/>
      <c r="AB304" s="251"/>
      <c r="AC304" s="251"/>
      <c r="AD304" s="251"/>
      <c r="AE304" s="251"/>
      <c r="AF304" s="251"/>
      <c r="AG304" s="251"/>
      <c r="AH304" s="251"/>
      <c r="AI304" s="251"/>
      <c r="AJ304" s="251"/>
      <c r="AK304" s="251"/>
      <c r="AL304" s="251"/>
      <c r="AM304" s="251"/>
      <c r="AN304" s="251"/>
    </row>
  </sheetData>
  <sheetProtection/>
  <mergeCells count="75">
    <mergeCell ref="B21:C21"/>
    <mergeCell ref="B22:C22"/>
    <mergeCell ref="B24:C24"/>
    <mergeCell ref="B25:C25"/>
    <mergeCell ref="B26:C26"/>
    <mergeCell ref="B13:C13"/>
    <mergeCell ref="B14:C14"/>
    <mergeCell ref="B15:C15"/>
    <mergeCell ref="B16:C16"/>
    <mergeCell ref="B17:C17"/>
    <mergeCell ref="B20:C20"/>
    <mergeCell ref="J9:J11"/>
    <mergeCell ref="K9:K11"/>
    <mergeCell ref="L9:L11"/>
    <mergeCell ref="M9:O9"/>
    <mergeCell ref="AA9:AA11"/>
    <mergeCell ref="I6:I11"/>
    <mergeCell ref="J6:O6"/>
    <mergeCell ref="P6:P11"/>
    <mergeCell ref="Q6:R6"/>
    <mergeCell ref="AJ7:AL7"/>
    <mergeCell ref="AM7:AM11"/>
    <mergeCell ref="Z8:Z11"/>
    <mergeCell ref="AA8:AB8"/>
    <mergeCell ref="AJ8:AJ11"/>
    <mergeCell ref="AK8:AL8"/>
    <mergeCell ref="AK9:AK11"/>
    <mergeCell ref="J7:K8"/>
    <mergeCell ref="L7:O8"/>
    <mergeCell ref="Q7:Q11"/>
    <mergeCell ref="R7:R11"/>
    <mergeCell ref="T7:T11"/>
    <mergeCell ref="U7:U11"/>
    <mergeCell ref="M10:M11"/>
    <mergeCell ref="N10:O10"/>
    <mergeCell ref="W6:X6"/>
    <mergeCell ref="Y6:Y11"/>
    <mergeCell ref="Z6:AC6"/>
    <mergeCell ref="AD6:AD11"/>
    <mergeCell ref="AE6:AH6"/>
    <mergeCell ref="AL9:AL11"/>
    <mergeCell ref="AJ6:AM6"/>
    <mergeCell ref="W7:W11"/>
    <mergeCell ref="X7:X11"/>
    <mergeCell ref="AB9:AB11"/>
    <mergeCell ref="G4:G11"/>
    <mergeCell ref="H4:O4"/>
    <mergeCell ref="P4:X4"/>
    <mergeCell ref="AI6:AI11"/>
    <mergeCell ref="AC7:AC11"/>
    <mergeCell ref="AE7:AG11"/>
    <mergeCell ref="AH7:AH11"/>
    <mergeCell ref="V5:X5"/>
    <mergeCell ref="Y5:AC5"/>
    <mergeCell ref="AD5:AH5"/>
    <mergeCell ref="AI4:AM5"/>
    <mergeCell ref="AN4:AN11"/>
    <mergeCell ref="H5:H11"/>
    <mergeCell ref="I5:O5"/>
    <mergeCell ref="P5:R5"/>
    <mergeCell ref="S5:U5"/>
    <mergeCell ref="S6:S11"/>
    <mergeCell ref="T6:U6"/>
    <mergeCell ref="V6:V11"/>
    <mergeCell ref="Z7:AB7"/>
    <mergeCell ref="A1:AN1"/>
    <mergeCell ref="A2:AN2"/>
    <mergeCell ref="A3:AN3"/>
    <mergeCell ref="A4:A11"/>
    <mergeCell ref="B4:B11"/>
    <mergeCell ref="C4:C11"/>
    <mergeCell ref="D4:D11"/>
    <mergeCell ref="E4:E11"/>
    <mergeCell ref="F4:F11"/>
    <mergeCell ref="Y4:AH4"/>
  </mergeCells>
  <printOptions/>
  <pageMargins left="0.7086614173228347" right="0.3937007874015748" top="0.5511811023622047" bottom="0.5118110236220472" header="0.31496062992125984" footer="0.31496062992125984"/>
  <pageSetup fitToHeight="0" fitToWidth="1" horizontalDpi="600" verticalDpi="600" orientation="landscape" paperSize="9" scale="56" r:id="rId1"/>
</worksheet>
</file>

<file path=xl/worksheets/sheet4.xml><?xml version="1.0" encoding="utf-8"?>
<worksheet xmlns="http://schemas.openxmlformats.org/spreadsheetml/2006/main" xmlns:r="http://schemas.openxmlformats.org/officeDocument/2006/relationships">
  <sheetPr>
    <pageSetUpPr fitToPage="1"/>
  </sheetPr>
  <dimension ref="A1:W29"/>
  <sheetViews>
    <sheetView zoomScale="70" zoomScaleNormal="70" zoomScalePageLayoutView="0" workbookViewId="0" topLeftCell="A1">
      <selection activeCell="M20" sqref="M20"/>
    </sheetView>
  </sheetViews>
  <sheetFormatPr defaultColWidth="9.140625" defaultRowHeight="15"/>
  <cols>
    <col min="1" max="1" width="5.7109375" style="61" customWidth="1"/>
    <col min="2" max="2" width="40.140625" style="24" customWidth="1"/>
    <col min="3" max="3" width="15.28125" style="62" hidden="1" customWidth="1"/>
    <col min="4" max="4" width="31.57421875" style="61" hidden="1" customWidth="1"/>
    <col min="5" max="5" width="15.421875" style="61" customWidth="1"/>
    <col min="6" max="6" width="15.421875" style="61" hidden="1" customWidth="1"/>
    <col min="7" max="7" width="11.421875" style="61" hidden="1" customWidth="1"/>
    <col min="8" max="8" width="10.57421875" style="61" hidden="1" customWidth="1"/>
    <col min="9" max="9" width="15.421875" style="61" hidden="1" customWidth="1"/>
    <col min="10" max="10" width="14.57421875" style="24" customWidth="1"/>
    <col min="11" max="12" width="12.28125" style="24" customWidth="1"/>
    <col min="13" max="13" width="14.57421875" style="24" customWidth="1"/>
    <col min="14" max="21" width="12.28125" style="24" customWidth="1"/>
    <col min="22" max="22" width="19.28125" style="61" customWidth="1"/>
    <col min="23" max="23" width="14.28125" style="24" customWidth="1"/>
    <col min="24" max="16384" width="8.8515625" style="24" customWidth="1"/>
  </cols>
  <sheetData>
    <row r="1" spans="1:22" s="16" customFormat="1" ht="30.75" customHeight="1">
      <c r="A1" s="406" t="s">
        <v>243</v>
      </c>
      <c r="B1" s="406"/>
      <c r="C1" s="17"/>
      <c r="D1" s="17"/>
      <c r="E1" s="15"/>
      <c r="F1" s="15"/>
      <c r="G1" s="15"/>
      <c r="H1" s="15"/>
      <c r="I1" s="15"/>
      <c r="J1" s="15"/>
      <c r="K1" s="15"/>
      <c r="L1" s="15"/>
      <c r="M1" s="15"/>
      <c r="N1" s="15"/>
      <c r="O1" s="15"/>
      <c r="P1" s="15"/>
      <c r="Q1" s="15"/>
      <c r="R1" s="15"/>
      <c r="S1" s="15"/>
      <c r="T1" s="15"/>
      <c r="U1" s="15"/>
      <c r="V1" s="15"/>
    </row>
    <row r="2" spans="1:22" s="16" customFormat="1" ht="30.75" customHeight="1">
      <c r="A2" s="407" t="s">
        <v>244</v>
      </c>
      <c r="B2" s="407"/>
      <c r="C2" s="407"/>
      <c r="D2" s="407"/>
      <c r="E2" s="407"/>
      <c r="F2" s="407"/>
      <c r="G2" s="407"/>
      <c r="H2" s="407"/>
      <c r="I2" s="407"/>
      <c r="J2" s="407"/>
      <c r="K2" s="407"/>
      <c r="L2" s="407"/>
      <c r="M2" s="407"/>
      <c r="N2" s="407"/>
      <c r="O2" s="407"/>
      <c r="P2" s="407"/>
      <c r="Q2" s="407"/>
      <c r="R2" s="407"/>
      <c r="S2" s="407"/>
      <c r="T2" s="407"/>
      <c r="U2" s="407"/>
      <c r="V2" s="407"/>
    </row>
    <row r="3" spans="1:22" s="16" customFormat="1" ht="13.5">
      <c r="A3" s="408"/>
      <c r="B3" s="408"/>
      <c r="C3" s="408"/>
      <c r="D3" s="408"/>
      <c r="E3" s="408"/>
      <c r="F3" s="408"/>
      <c r="G3" s="408"/>
      <c r="H3" s="408"/>
      <c r="I3" s="408"/>
      <c r="J3" s="408"/>
      <c r="K3" s="408"/>
      <c r="L3" s="408"/>
      <c r="M3" s="408"/>
      <c r="N3" s="408"/>
      <c r="O3" s="408"/>
      <c r="P3" s="408"/>
      <c r="Q3" s="408"/>
      <c r="R3" s="408"/>
      <c r="S3" s="408"/>
      <c r="T3" s="408"/>
      <c r="U3" s="408"/>
      <c r="V3" s="408"/>
    </row>
    <row r="4" spans="1:23" s="16" customFormat="1" ht="15" customHeight="1">
      <c r="A4" s="18"/>
      <c r="B4" s="19"/>
      <c r="C4" s="18"/>
      <c r="D4" s="18"/>
      <c r="E4" s="18"/>
      <c r="F4" s="18"/>
      <c r="G4" s="18"/>
      <c r="H4" s="18"/>
      <c r="I4" s="18"/>
      <c r="J4" s="20"/>
      <c r="K4" s="18"/>
      <c r="L4" s="18"/>
      <c r="M4" s="18"/>
      <c r="N4" s="18"/>
      <c r="O4" s="409" t="s">
        <v>0</v>
      </c>
      <c r="P4" s="409"/>
      <c r="Q4" s="409"/>
      <c r="R4" s="409"/>
      <c r="S4" s="409"/>
      <c r="T4" s="409"/>
      <c r="U4" s="409"/>
      <c r="V4" s="409"/>
      <c r="W4" s="409"/>
    </row>
    <row r="5" spans="1:23" ht="18.75" customHeight="1">
      <c r="A5" s="410" t="s">
        <v>9</v>
      </c>
      <c r="B5" s="410" t="s">
        <v>221</v>
      </c>
      <c r="C5" s="410" t="s">
        <v>222</v>
      </c>
      <c r="D5" s="411" t="s">
        <v>223</v>
      </c>
      <c r="E5" s="412" t="s">
        <v>224</v>
      </c>
      <c r="F5" s="427" t="s">
        <v>11</v>
      </c>
      <c r="G5" s="428"/>
      <c r="H5" s="428"/>
      <c r="I5" s="429"/>
      <c r="J5" s="411" t="s">
        <v>116</v>
      </c>
      <c r="K5" s="411"/>
      <c r="L5" s="411"/>
      <c r="M5" s="411" t="s">
        <v>246</v>
      </c>
      <c r="N5" s="411"/>
      <c r="O5" s="411"/>
      <c r="P5" s="415" t="s">
        <v>214</v>
      </c>
      <c r="Q5" s="416"/>
      <c r="R5" s="417"/>
      <c r="S5" s="438" t="s">
        <v>247</v>
      </c>
      <c r="T5" s="439"/>
      <c r="U5" s="440"/>
      <c r="V5" s="424" t="s">
        <v>169</v>
      </c>
      <c r="W5" s="411" t="s">
        <v>12</v>
      </c>
    </row>
    <row r="6" spans="1:23" ht="18">
      <c r="A6" s="410"/>
      <c r="B6" s="410"/>
      <c r="C6" s="410"/>
      <c r="D6" s="411"/>
      <c r="E6" s="413"/>
      <c r="F6" s="430"/>
      <c r="G6" s="431"/>
      <c r="H6" s="431"/>
      <c r="I6" s="432"/>
      <c r="J6" s="411"/>
      <c r="K6" s="411"/>
      <c r="L6" s="411"/>
      <c r="M6" s="411"/>
      <c r="N6" s="411"/>
      <c r="O6" s="411"/>
      <c r="P6" s="418"/>
      <c r="Q6" s="419"/>
      <c r="R6" s="420"/>
      <c r="S6" s="441"/>
      <c r="T6" s="442"/>
      <c r="U6" s="443"/>
      <c r="V6" s="425"/>
      <c r="W6" s="411"/>
    </row>
    <row r="7" spans="1:23" ht="18" customHeight="1">
      <c r="A7" s="410"/>
      <c r="B7" s="410"/>
      <c r="C7" s="410"/>
      <c r="D7" s="411"/>
      <c r="E7" s="413"/>
      <c r="F7" s="433" t="s">
        <v>54</v>
      </c>
      <c r="G7" s="434" t="s">
        <v>245</v>
      </c>
      <c r="H7" s="436" t="s">
        <v>3</v>
      </c>
      <c r="I7" s="437"/>
      <c r="J7" s="411"/>
      <c r="K7" s="411"/>
      <c r="L7" s="411"/>
      <c r="M7" s="411"/>
      <c r="N7" s="411"/>
      <c r="O7" s="411"/>
      <c r="P7" s="421"/>
      <c r="Q7" s="422"/>
      <c r="R7" s="423"/>
      <c r="S7" s="441"/>
      <c r="T7" s="442"/>
      <c r="U7" s="443"/>
      <c r="V7" s="425"/>
      <c r="W7" s="411"/>
    </row>
    <row r="8" spans="1:23" ht="54">
      <c r="A8" s="410"/>
      <c r="B8" s="410"/>
      <c r="C8" s="410"/>
      <c r="D8" s="411"/>
      <c r="E8" s="414"/>
      <c r="F8" s="433"/>
      <c r="G8" s="435"/>
      <c r="H8" s="64" t="s">
        <v>227</v>
      </c>
      <c r="I8" s="64" t="s">
        <v>228</v>
      </c>
      <c r="J8" s="22" t="s">
        <v>226</v>
      </c>
      <c r="K8" s="25" t="s">
        <v>227</v>
      </c>
      <c r="L8" s="25" t="s">
        <v>228</v>
      </c>
      <c r="M8" s="22" t="s">
        <v>226</v>
      </c>
      <c r="N8" s="25" t="s">
        <v>227</v>
      </c>
      <c r="O8" s="25" t="s">
        <v>228</v>
      </c>
      <c r="P8" s="22" t="s">
        <v>226</v>
      </c>
      <c r="Q8" s="25" t="s">
        <v>227</v>
      </c>
      <c r="R8" s="25" t="s">
        <v>228</v>
      </c>
      <c r="S8" s="22" t="s">
        <v>226</v>
      </c>
      <c r="T8" s="25" t="s">
        <v>227</v>
      </c>
      <c r="U8" s="25" t="s">
        <v>228</v>
      </c>
      <c r="V8" s="426"/>
      <c r="W8" s="411"/>
    </row>
    <row r="9" spans="1:23" ht="18">
      <c r="A9" s="21"/>
      <c r="B9" s="21" t="s">
        <v>219</v>
      </c>
      <c r="C9" s="21"/>
      <c r="D9" s="22"/>
      <c r="E9" s="22"/>
      <c r="F9" s="63"/>
      <c r="G9" s="22"/>
      <c r="H9" s="22"/>
      <c r="I9" s="22"/>
      <c r="J9" s="26">
        <f aca="true" t="shared" si="0" ref="J9:O9">J10+J16</f>
        <v>487904</v>
      </c>
      <c r="K9" s="26">
        <f t="shared" si="0"/>
        <v>473693</v>
      </c>
      <c r="L9" s="26">
        <f t="shared" si="0"/>
        <v>14211</v>
      </c>
      <c r="M9" s="26">
        <f t="shared" si="0"/>
        <v>162022</v>
      </c>
      <c r="N9" s="26">
        <f t="shared" si="0"/>
        <v>157302</v>
      </c>
      <c r="O9" s="26">
        <f t="shared" si="0"/>
        <v>4720</v>
      </c>
      <c r="P9" s="26">
        <f aca="true" t="shared" si="1" ref="P9:U9">P10+P16</f>
        <v>325882</v>
      </c>
      <c r="Q9" s="26">
        <f t="shared" si="1"/>
        <v>316391</v>
      </c>
      <c r="R9" s="26">
        <f t="shared" si="1"/>
        <v>9491</v>
      </c>
      <c r="S9" s="26">
        <f t="shared" si="1"/>
        <v>108626</v>
      </c>
      <c r="T9" s="26">
        <f t="shared" si="1"/>
        <v>105463</v>
      </c>
      <c r="U9" s="26">
        <f t="shared" si="1"/>
        <v>3163</v>
      </c>
      <c r="V9" s="26"/>
      <c r="W9" s="22"/>
    </row>
    <row r="10" spans="1:23" ht="18">
      <c r="A10" s="21" t="s">
        <v>16</v>
      </c>
      <c r="B10" s="27" t="s">
        <v>229</v>
      </c>
      <c r="C10" s="21"/>
      <c r="D10" s="22"/>
      <c r="E10" s="22"/>
      <c r="F10" s="22"/>
      <c r="G10" s="22"/>
      <c r="H10" s="22"/>
      <c r="I10" s="22"/>
      <c r="J10" s="26">
        <f aca="true" t="shared" si="2" ref="J10:O10">J11</f>
        <v>78163</v>
      </c>
      <c r="K10" s="26">
        <f t="shared" si="2"/>
        <v>75887</v>
      </c>
      <c r="L10" s="26">
        <f t="shared" si="2"/>
        <v>2276</v>
      </c>
      <c r="M10" s="26">
        <f t="shared" si="2"/>
        <v>23250</v>
      </c>
      <c r="N10" s="26">
        <f t="shared" si="2"/>
        <v>22573</v>
      </c>
      <c r="O10" s="26">
        <f t="shared" si="2"/>
        <v>677</v>
      </c>
      <c r="P10" s="26">
        <f aca="true" t="shared" si="3" ref="P10:U10">P11</f>
        <v>54913</v>
      </c>
      <c r="Q10" s="26">
        <f t="shared" si="3"/>
        <v>53314</v>
      </c>
      <c r="R10" s="26">
        <f t="shared" si="3"/>
        <v>1599</v>
      </c>
      <c r="S10" s="26">
        <f t="shared" si="3"/>
        <v>15591</v>
      </c>
      <c r="T10" s="26">
        <f t="shared" si="3"/>
        <v>15137</v>
      </c>
      <c r="U10" s="26">
        <f t="shared" si="3"/>
        <v>454</v>
      </c>
      <c r="V10" s="26"/>
      <c r="W10" s="22"/>
    </row>
    <row r="11" spans="1:23" s="29" customFormat="1" ht="34.5">
      <c r="A11" s="21" t="s">
        <v>17</v>
      </c>
      <c r="B11" s="22" t="s">
        <v>230</v>
      </c>
      <c r="C11" s="21"/>
      <c r="D11" s="21"/>
      <c r="E11" s="21"/>
      <c r="F11" s="21"/>
      <c r="G11" s="21"/>
      <c r="H11" s="21"/>
      <c r="I11" s="21"/>
      <c r="J11" s="28">
        <f aca="true" t="shared" si="4" ref="J11:O11">J12+J14</f>
        <v>78163</v>
      </c>
      <c r="K11" s="28">
        <f t="shared" si="4"/>
        <v>75887</v>
      </c>
      <c r="L11" s="28">
        <f t="shared" si="4"/>
        <v>2276</v>
      </c>
      <c r="M11" s="28">
        <f t="shared" si="4"/>
        <v>23250</v>
      </c>
      <c r="N11" s="28">
        <f t="shared" si="4"/>
        <v>22573</v>
      </c>
      <c r="O11" s="28">
        <f t="shared" si="4"/>
        <v>677</v>
      </c>
      <c r="P11" s="28">
        <f aca="true" t="shared" si="5" ref="P11:U11">P12+P14</f>
        <v>54913</v>
      </c>
      <c r="Q11" s="28">
        <f t="shared" si="5"/>
        <v>53314</v>
      </c>
      <c r="R11" s="28">
        <f t="shared" si="5"/>
        <v>1599</v>
      </c>
      <c r="S11" s="28">
        <f t="shared" si="5"/>
        <v>15591</v>
      </c>
      <c r="T11" s="28">
        <f t="shared" si="5"/>
        <v>15137</v>
      </c>
      <c r="U11" s="28">
        <f t="shared" si="5"/>
        <v>454</v>
      </c>
      <c r="V11" s="28"/>
      <c r="W11" s="21"/>
    </row>
    <row r="12" spans="1:23" s="35" customFormat="1" ht="54">
      <c r="A12" s="30" t="s">
        <v>231</v>
      </c>
      <c r="B12" s="31" t="s">
        <v>232</v>
      </c>
      <c r="C12" s="32"/>
      <c r="D12" s="30"/>
      <c r="E12" s="30"/>
      <c r="F12" s="30"/>
      <c r="G12" s="30"/>
      <c r="H12" s="30"/>
      <c r="I12" s="30"/>
      <c r="J12" s="33">
        <f aca="true" t="shared" si="6" ref="J12:O12">J13</f>
        <v>77228</v>
      </c>
      <c r="K12" s="33">
        <f t="shared" si="6"/>
        <v>74979</v>
      </c>
      <c r="L12" s="33">
        <f t="shared" si="6"/>
        <v>2249</v>
      </c>
      <c r="M12" s="33">
        <f t="shared" si="6"/>
        <v>23169</v>
      </c>
      <c r="N12" s="33">
        <f t="shared" si="6"/>
        <v>22494</v>
      </c>
      <c r="O12" s="33">
        <f t="shared" si="6"/>
        <v>675</v>
      </c>
      <c r="P12" s="33">
        <f aca="true" t="shared" si="7" ref="P12:U12">P13</f>
        <v>54059</v>
      </c>
      <c r="Q12" s="33">
        <f t="shared" si="7"/>
        <v>52485</v>
      </c>
      <c r="R12" s="33">
        <f t="shared" si="7"/>
        <v>1574</v>
      </c>
      <c r="S12" s="33">
        <f t="shared" si="7"/>
        <v>15532</v>
      </c>
      <c r="T12" s="33">
        <f t="shared" si="7"/>
        <v>15080</v>
      </c>
      <c r="U12" s="33">
        <f t="shared" si="7"/>
        <v>452</v>
      </c>
      <c r="V12" s="33"/>
      <c r="W12" s="34"/>
    </row>
    <row r="13" spans="1:23" ht="108">
      <c r="A13" s="36">
        <v>1</v>
      </c>
      <c r="B13" s="37" t="s">
        <v>233</v>
      </c>
      <c r="C13" s="38" t="s">
        <v>149</v>
      </c>
      <c r="D13" s="38" t="s">
        <v>234</v>
      </c>
      <c r="E13" s="36" t="s">
        <v>235</v>
      </c>
      <c r="F13" s="36"/>
      <c r="G13" s="36"/>
      <c r="H13" s="36"/>
      <c r="I13" s="36"/>
      <c r="J13" s="39">
        <f>K13+L13</f>
        <v>77228</v>
      </c>
      <c r="K13" s="39">
        <v>74979</v>
      </c>
      <c r="L13" s="39">
        <v>2249</v>
      </c>
      <c r="M13" s="39">
        <f>N13+O13</f>
        <v>23169</v>
      </c>
      <c r="N13" s="40">
        <v>22494</v>
      </c>
      <c r="O13" s="40">
        <v>675</v>
      </c>
      <c r="P13" s="40">
        <f>Q13+R13</f>
        <v>54059</v>
      </c>
      <c r="Q13" s="40">
        <f>K13-N13</f>
        <v>52485</v>
      </c>
      <c r="R13" s="40">
        <f>L13-O13</f>
        <v>1574</v>
      </c>
      <c r="S13" s="40">
        <f>T13+U13</f>
        <v>15532</v>
      </c>
      <c r="T13" s="40">
        <v>15080</v>
      </c>
      <c r="U13" s="40">
        <v>452</v>
      </c>
      <c r="V13" s="41" t="s">
        <v>65</v>
      </c>
      <c r="W13" s="36"/>
    </row>
    <row r="14" spans="1:23" ht="36">
      <c r="A14" s="30" t="s">
        <v>236</v>
      </c>
      <c r="B14" s="42" t="s">
        <v>237</v>
      </c>
      <c r="C14" s="38"/>
      <c r="D14" s="38"/>
      <c r="E14" s="43"/>
      <c r="F14" s="43"/>
      <c r="G14" s="43"/>
      <c r="H14" s="43"/>
      <c r="I14" s="43"/>
      <c r="J14" s="34">
        <f aca="true" t="shared" si="8" ref="J14:U14">J15</f>
        <v>935</v>
      </c>
      <c r="K14" s="34">
        <f t="shared" si="8"/>
        <v>908</v>
      </c>
      <c r="L14" s="34">
        <f t="shared" si="8"/>
        <v>27</v>
      </c>
      <c r="M14" s="34">
        <f t="shared" si="8"/>
        <v>81</v>
      </c>
      <c r="N14" s="34">
        <f t="shared" si="8"/>
        <v>79</v>
      </c>
      <c r="O14" s="34">
        <f t="shared" si="8"/>
        <v>2</v>
      </c>
      <c r="P14" s="34">
        <f t="shared" si="8"/>
        <v>854</v>
      </c>
      <c r="Q14" s="34">
        <f t="shared" si="8"/>
        <v>829</v>
      </c>
      <c r="R14" s="34">
        <f t="shared" si="8"/>
        <v>25</v>
      </c>
      <c r="S14" s="34">
        <f t="shared" si="8"/>
        <v>59</v>
      </c>
      <c r="T14" s="34">
        <f t="shared" si="8"/>
        <v>57</v>
      </c>
      <c r="U14" s="34">
        <f t="shared" si="8"/>
        <v>2</v>
      </c>
      <c r="V14" s="33"/>
      <c r="W14" s="43"/>
    </row>
    <row r="15" spans="1:23" ht="59.25" customHeight="1">
      <c r="A15" s="36">
        <v>1</v>
      </c>
      <c r="B15" s="37" t="s">
        <v>238</v>
      </c>
      <c r="C15" s="44" t="s">
        <v>239</v>
      </c>
      <c r="D15" s="38" t="s">
        <v>240</v>
      </c>
      <c r="E15" s="36" t="s">
        <v>235</v>
      </c>
      <c r="F15" s="36"/>
      <c r="G15" s="36"/>
      <c r="H15" s="36"/>
      <c r="I15" s="36"/>
      <c r="J15" s="45">
        <f>K15+L15</f>
        <v>935</v>
      </c>
      <c r="K15" s="45">
        <v>908</v>
      </c>
      <c r="L15" s="45">
        <v>27</v>
      </c>
      <c r="M15" s="45">
        <f>N15+O15</f>
        <v>81</v>
      </c>
      <c r="N15" s="45">
        <v>79</v>
      </c>
      <c r="O15" s="45">
        <v>2</v>
      </c>
      <c r="P15" s="40">
        <f>Q15+R15</f>
        <v>854</v>
      </c>
      <c r="Q15" s="40">
        <f>K15-N15</f>
        <v>829</v>
      </c>
      <c r="R15" s="40">
        <f>L15-O15</f>
        <v>25</v>
      </c>
      <c r="S15" s="40">
        <f>T15+U15</f>
        <v>59</v>
      </c>
      <c r="T15" s="45">
        <v>57</v>
      </c>
      <c r="U15" s="45">
        <v>2</v>
      </c>
      <c r="V15" s="46" t="s">
        <v>139</v>
      </c>
      <c r="W15" s="36"/>
    </row>
    <row r="16" spans="1:23" s="50" customFormat="1" ht="59.25" customHeight="1">
      <c r="A16" s="21" t="s">
        <v>157</v>
      </c>
      <c r="B16" s="47" t="s">
        <v>241</v>
      </c>
      <c r="C16" s="22"/>
      <c r="D16" s="48"/>
      <c r="E16" s="21"/>
      <c r="F16" s="21"/>
      <c r="G16" s="21"/>
      <c r="H16" s="21"/>
      <c r="I16" s="21"/>
      <c r="J16" s="49">
        <f aca="true" t="shared" si="9" ref="J16:O16">J17+J20</f>
        <v>409741</v>
      </c>
      <c r="K16" s="49">
        <f t="shared" si="9"/>
        <v>397806</v>
      </c>
      <c r="L16" s="49">
        <f t="shared" si="9"/>
        <v>11935</v>
      </c>
      <c r="M16" s="49">
        <f t="shared" si="9"/>
        <v>138772</v>
      </c>
      <c r="N16" s="49">
        <f t="shared" si="9"/>
        <v>134729</v>
      </c>
      <c r="O16" s="49">
        <f t="shared" si="9"/>
        <v>4043</v>
      </c>
      <c r="P16" s="49">
        <f aca="true" t="shared" si="10" ref="P16:U16">P17+P20</f>
        <v>270969</v>
      </c>
      <c r="Q16" s="49">
        <f t="shared" si="10"/>
        <v>263077</v>
      </c>
      <c r="R16" s="49">
        <f t="shared" si="10"/>
        <v>7892</v>
      </c>
      <c r="S16" s="49">
        <f t="shared" si="10"/>
        <v>93035</v>
      </c>
      <c r="T16" s="49">
        <f t="shared" si="10"/>
        <v>90326</v>
      </c>
      <c r="U16" s="49">
        <f t="shared" si="10"/>
        <v>2709</v>
      </c>
      <c r="V16" s="26"/>
      <c r="W16" s="21"/>
    </row>
    <row r="17" spans="1:23" ht="51.75">
      <c r="A17" s="21" t="s">
        <v>17</v>
      </c>
      <c r="B17" s="22" t="s">
        <v>242</v>
      </c>
      <c r="C17" s="21"/>
      <c r="D17" s="22"/>
      <c r="E17" s="22"/>
      <c r="F17" s="22"/>
      <c r="G17" s="22"/>
      <c r="H17" s="22"/>
      <c r="I17" s="22"/>
      <c r="J17" s="26">
        <f aca="true" t="shared" si="11" ref="J17:O17">J18+J19</f>
        <v>401320</v>
      </c>
      <c r="K17" s="26">
        <f t="shared" si="11"/>
        <v>389631</v>
      </c>
      <c r="L17" s="26">
        <f t="shared" si="11"/>
        <v>11689</v>
      </c>
      <c r="M17" s="26">
        <f t="shared" si="11"/>
        <v>138042</v>
      </c>
      <c r="N17" s="26">
        <f t="shared" si="11"/>
        <v>134021</v>
      </c>
      <c r="O17" s="26">
        <f t="shared" si="11"/>
        <v>4021</v>
      </c>
      <c r="P17" s="26">
        <f aca="true" t="shared" si="12" ref="P17:U17">P18+P19</f>
        <v>263278</v>
      </c>
      <c r="Q17" s="26">
        <f t="shared" si="12"/>
        <v>255610</v>
      </c>
      <c r="R17" s="26">
        <f t="shared" si="12"/>
        <v>7668</v>
      </c>
      <c r="S17" s="26">
        <f t="shared" si="12"/>
        <v>92535</v>
      </c>
      <c r="T17" s="26">
        <f t="shared" si="12"/>
        <v>89840</v>
      </c>
      <c r="U17" s="26">
        <f t="shared" si="12"/>
        <v>2695</v>
      </c>
      <c r="V17" s="26"/>
      <c r="W17" s="22"/>
    </row>
    <row r="18" spans="1:23" ht="18">
      <c r="A18" s="36">
        <v>1</v>
      </c>
      <c r="B18" s="51" t="s">
        <v>155</v>
      </c>
      <c r="C18" s="52"/>
      <c r="D18" s="36"/>
      <c r="E18" s="52"/>
      <c r="F18" s="52"/>
      <c r="G18" s="52"/>
      <c r="H18" s="52"/>
      <c r="I18" s="52"/>
      <c r="J18" s="39">
        <v>196047</v>
      </c>
      <c r="K18" s="53">
        <v>190337</v>
      </c>
      <c r="L18" s="53">
        <v>5710</v>
      </c>
      <c r="M18" s="39">
        <v>67434</v>
      </c>
      <c r="N18" s="53">
        <v>65470</v>
      </c>
      <c r="O18" s="53">
        <v>1964</v>
      </c>
      <c r="P18" s="40">
        <f>Q18+R18</f>
        <v>128613</v>
      </c>
      <c r="Q18" s="40">
        <f>K18-N18</f>
        <v>124867</v>
      </c>
      <c r="R18" s="40">
        <f>L18-O18</f>
        <v>3746</v>
      </c>
      <c r="S18" s="40">
        <f>T18+U18</f>
        <v>45206</v>
      </c>
      <c r="T18" s="53">
        <v>43890</v>
      </c>
      <c r="U18" s="53">
        <v>1316</v>
      </c>
      <c r="V18" s="54"/>
      <c r="W18" s="52"/>
    </row>
    <row r="19" spans="1:23" ht="18">
      <c r="A19" s="36">
        <v>2</v>
      </c>
      <c r="B19" s="37" t="s">
        <v>153</v>
      </c>
      <c r="C19" s="55"/>
      <c r="D19" s="55"/>
      <c r="E19" s="56"/>
      <c r="F19" s="56"/>
      <c r="G19" s="56"/>
      <c r="H19" s="56"/>
      <c r="I19" s="56"/>
      <c r="J19" s="56">
        <v>205273</v>
      </c>
      <c r="K19" s="56">
        <v>199294</v>
      </c>
      <c r="L19" s="56">
        <v>5979</v>
      </c>
      <c r="M19" s="56">
        <v>70608</v>
      </c>
      <c r="N19" s="56">
        <v>68551</v>
      </c>
      <c r="O19" s="56">
        <v>2057</v>
      </c>
      <c r="P19" s="40">
        <f>Q19+R19</f>
        <v>134665</v>
      </c>
      <c r="Q19" s="40">
        <f>K19-N19</f>
        <v>130743</v>
      </c>
      <c r="R19" s="40">
        <f>L19-O19</f>
        <v>3922</v>
      </c>
      <c r="S19" s="40">
        <f>T19+U19</f>
        <v>47329</v>
      </c>
      <c r="T19" s="56">
        <v>45950</v>
      </c>
      <c r="U19" s="56">
        <v>1379</v>
      </c>
      <c r="V19" s="57"/>
      <c r="W19" s="56"/>
    </row>
    <row r="20" spans="1:23" s="29" customFormat="1" ht="34.5">
      <c r="A20" s="21" t="s">
        <v>18</v>
      </c>
      <c r="B20" s="22" t="s">
        <v>230</v>
      </c>
      <c r="C20" s="21"/>
      <c r="D20" s="21"/>
      <c r="E20" s="21"/>
      <c r="F20" s="21"/>
      <c r="G20" s="21"/>
      <c r="H20" s="21"/>
      <c r="I20" s="21"/>
      <c r="J20" s="28">
        <f aca="true" t="shared" si="13" ref="J20:U20">J21</f>
        <v>8421</v>
      </c>
      <c r="K20" s="28">
        <f t="shared" si="13"/>
        <v>8175</v>
      </c>
      <c r="L20" s="28">
        <f t="shared" si="13"/>
        <v>246</v>
      </c>
      <c r="M20" s="28">
        <f t="shared" si="13"/>
        <v>730</v>
      </c>
      <c r="N20" s="28">
        <f t="shared" si="13"/>
        <v>708</v>
      </c>
      <c r="O20" s="28">
        <f t="shared" si="13"/>
        <v>22</v>
      </c>
      <c r="P20" s="28">
        <f t="shared" si="13"/>
        <v>7691</v>
      </c>
      <c r="Q20" s="28">
        <f t="shared" si="13"/>
        <v>7467</v>
      </c>
      <c r="R20" s="28">
        <f t="shared" si="13"/>
        <v>224</v>
      </c>
      <c r="S20" s="28">
        <f t="shared" si="13"/>
        <v>500</v>
      </c>
      <c r="T20" s="28">
        <f t="shared" si="13"/>
        <v>486</v>
      </c>
      <c r="U20" s="28">
        <f t="shared" si="13"/>
        <v>14</v>
      </c>
      <c r="V20" s="28"/>
      <c r="W20" s="21"/>
    </row>
    <row r="21" spans="1:23" ht="36">
      <c r="A21" s="30"/>
      <c r="B21" s="42" t="s">
        <v>237</v>
      </c>
      <c r="C21" s="38"/>
      <c r="D21" s="38"/>
      <c r="E21" s="43"/>
      <c r="F21" s="43"/>
      <c r="G21" s="43"/>
      <c r="H21" s="43"/>
      <c r="I21" s="43"/>
      <c r="J21" s="34">
        <f aca="true" t="shared" si="14" ref="J21:O21">SUM(J22:J29)</f>
        <v>8421</v>
      </c>
      <c r="K21" s="34">
        <f t="shared" si="14"/>
        <v>8175</v>
      </c>
      <c r="L21" s="34">
        <f t="shared" si="14"/>
        <v>246</v>
      </c>
      <c r="M21" s="34">
        <f t="shared" si="14"/>
        <v>730</v>
      </c>
      <c r="N21" s="34">
        <f t="shared" si="14"/>
        <v>708</v>
      </c>
      <c r="O21" s="34">
        <f t="shared" si="14"/>
        <v>22</v>
      </c>
      <c r="P21" s="34">
        <f aca="true" t="shared" si="15" ref="P21:U21">SUM(P22:P29)</f>
        <v>7691</v>
      </c>
      <c r="Q21" s="34">
        <f t="shared" si="15"/>
        <v>7467</v>
      </c>
      <c r="R21" s="34">
        <f t="shared" si="15"/>
        <v>224</v>
      </c>
      <c r="S21" s="34">
        <f t="shared" si="15"/>
        <v>500</v>
      </c>
      <c r="T21" s="34">
        <f t="shared" si="15"/>
        <v>486</v>
      </c>
      <c r="U21" s="34">
        <f t="shared" si="15"/>
        <v>14</v>
      </c>
      <c r="V21" s="33"/>
      <c r="W21" s="43"/>
    </row>
    <row r="22" spans="1:23" ht="18">
      <c r="A22" s="36">
        <v>1</v>
      </c>
      <c r="B22" s="58" t="s">
        <v>155</v>
      </c>
      <c r="C22" s="38"/>
      <c r="D22" s="38"/>
      <c r="E22" s="36"/>
      <c r="F22" s="36"/>
      <c r="G22" s="36"/>
      <c r="H22" s="36"/>
      <c r="I22" s="36"/>
      <c r="J22" s="45">
        <f aca="true" t="shared" si="16" ref="J22:J29">K22+L22</f>
        <v>1204</v>
      </c>
      <c r="K22" s="45">
        <v>1169</v>
      </c>
      <c r="L22" s="45">
        <v>35</v>
      </c>
      <c r="M22" s="45">
        <f aca="true" t="shared" si="17" ref="M22:M29">N22+O22</f>
        <v>104</v>
      </c>
      <c r="N22" s="45">
        <v>101</v>
      </c>
      <c r="O22" s="45">
        <v>3</v>
      </c>
      <c r="P22" s="40">
        <f>Q22+R22</f>
        <v>1100</v>
      </c>
      <c r="Q22" s="40">
        <f>K22-N22</f>
        <v>1068</v>
      </c>
      <c r="R22" s="40">
        <f>L22-O22</f>
        <v>32</v>
      </c>
      <c r="S22" s="40">
        <f aca="true" t="shared" si="18" ref="S22:S29">T22+U22</f>
        <v>70</v>
      </c>
      <c r="T22" s="45">
        <v>68</v>
      </c>
      <c r="U22" s="45">
        <v>2</v>
      </c>
      <c r="V22" s="57"/>
      <c r="W22" s="36"/>
    </row>
    <row r="23" spans="1:23" ht="18">
      <c r="A23" s="44">
        <v>2</v>
      </c>
      <c r="B23" s="58" t="s">
        <v>152</v>
      </c>
      <c r="C23" s="38"/>
      <c r="D23" s="38"/>
      <c r="E23" s="36"/>
      <c r="F23" s="36"/>
      <c r="G23" s="36"/>
      <c r="H23" s="36"/>
      <c r="I23" s="36"/>
      <c r="J23" s="45">
        <f t="shared" si="16"/>
        <v>1054</v>
      </c>
      <c r="K23" s="45">
        <v>1023</v>
      </c>
      <c r="L23" s="45">
        <v>31</v>
      </c>
      <c r="M23" s="45">
        <f t="shared" si="17"/>
        <v>92</v>
      </c>
      <c r="N23" s="45">
        <v>89</v>
      </c>
      <c r="O23" s="45">
        <v>3</v>
      </c>
      <c r="P23" s="40">
        <f aca="true" t="shared" si="19" ref="P23:P29">Q23+R23</f>
        <v>962</v>
      </c>
      <c r="Q23" s="40">
        <f aca="true" t="shared" si="20" ref="Q23:Q29">K23-N23</f>
        <v>934</v>
      </c>
      <c r="R23" s="40">
        <f aca="true" t="shared" si="21" ref="R23:R29">L23-O23</f>
        <v>28</v>
      </c>
      <c r="S23" s="40">
        <f t="shared" si="18"/>
        <v>62</v>
      </c>
      <c r="T23" s="45">
        <v>60</v>
      </c>
      <c r="U23" s="45">
        <v>2</v>
      </c>
      <c r="V23" s="57"/>
      <c r="W23" s="36"/>
    </row>
    <row r="24" spans="1:23" ht="18">
      <c r="A24" s="59">
        <v>3</v>
      </c>
      <c r="B24" s="37" t="s">
        <v>154</v>
      </c>
      <c r="C24" s="38"/>
      <c r="D24" s="38"/>
      <c r="E24" s="36"/>
      <c r="F24" s="36"/>
      <c r="G24" s="36"/>
      <c r="H24" s="36"/>
      <c r="I24" s="36"/>
      <c r="J24" s="45">
        <f t="shared" si="16"/>
        <v>1390</v>
      </c>
      <c r="K24" s="45">
        <v>1349</v>
      </c>
      <c r="L24" s="45">
        <v>41</v>
      </c>
      <c r="M24" s="45">
        <f t="shared" si="17"/>
        <v>121</v>
      </c>
      <c r="N24" s="45">
        <v>117</v>
      </c>
      <c r="O24" s="45">
        <v>4</v>
      </c>
      <c r="P24" s="40">
        <f t="shared" si="19"/>
        <v>1269</v>
      </c>
      <c r="Q24" s="40">
        <f t="shared" si="20"/>
        <v>1232</v>
      </c>
      <c r="R24" s="40">
        <f t="shared" si="21"/>
        <v>37</v>
      </c>
      <c r="S24" s="40">
        <f t="shared" si="18"/>
        <v>81</v>
      </c>
      <c r="T24" s="45">
        <v>78</v>
      </c>
      <c r="U24" s="45">
        <v>3</v>
      </c>
      <c r="V24" s="57"/>
      <c r="W24" s="36"/>
    </row>
    <row r="25" spans="1:23" ht="18">
      <c r="A25" s="36">
        <v>4</v>
      </c>
      <c r="B25" s="37" t="s">
        <v>156</v>
      </c>
      <c r="C25" s="38"/>
      <c r="D25" s="38"/>
      <c r="E25" s="36"/>
      <c r="F25" s="36"/>
      <c r="G25" s="36"/>
      <c r="H25" s="36"/>
      <c r="I25" s="36"/>
      <c r="J25" s="45">
        <f t="shared" si="16"/>
        <v>903</v>
      </c>
      <c r="K25" s="45">
        <v>877</v>
      </c>
      <c r="L25" s="45">
        <v>26</v>
      </c>
      <c r="M25" s="45">
        <f t="shared" si="17"/>
        <v>78</v>
      </c>
      <c r="N25" s="45">
        <v>76</v>
      </c>
      <c r="O25" s="45">
        <v>2</v>
      </c>
      <c r="P25" s="40">
        <f t="shared" si="19"/>
        <v>825</v>
      </c>
      <c r="Q25" s="40">
        <f t="shared" si="20"/>
        <v>801</v>
      </c>
      <c r="R25" s="40">
        <f t="shared" si="21"/>
        <v>24</v>
      </c>
      <c r="S25" s="40">
        <f t="shared" si="18"/>
        <v>52</v>
      </c>
      <c r="T25" s="45">
        <v>51</v>
      </c>
      <c r="U25" s="45">
        <v>1</v>
      </c>
      <c r="V25" s="57"/>
      <c r="W25" s="36"/>
    </row>
    <row r="26" spans="1:23" ht="18">
      <c r="A26" s="60">
        <v>5</v>
      </c>
      <c r="B26" s="58" t="s">
        <v>153</v>
      </c>
      <c r="C26" s="44"/>
      <c r="D26" s="44"/>
      <c r="E26" s="36"/>
      <c r="F26" s="36"/>
      <c r="G26" s="36"/>
      <c r="H26" s="36"/>
      <c r="I26" s="36"/>
      <c r="J26" s="45">
        <f t="shared" si="16"/>
        <v>1280</v>
      </c>
      <c r="K26" s="45">
        <v>1243</v>
      </c>
      <c r="L26" s="45">
        <v>37</v>
      </c>
      <c r="M26" s="45">
        <f t="shared" si="17"/>
        <v>110</v>
      </c>
      <c r="N26" s="45">
        <v>107</v>
      </c>
      <c r="O26" s="45">
        <v>3</v>
      </c>
      <c r="P26" s="40">
        <f t="shared" si="19"/>
        <v>1170</v>
      </c>
      <c r="Q26" s="40">
        <f t="shared" si="20"/>
        <v>1136</v>
      </c>
      <c r="R26" s="40">
        <f t="shared" si="21"/>
        <v>34</v>
      </c>
      <c r="S26" s="40">
        <f t="shared" si="18"/>
        <v>84</v>
      </c>
      <c r="T26" s="45">
        <v>82</v>
      </c>
      <c r="U26" s="45">
        <v>2</v>
      </c>
      <c r="V26" s="57"/>
      <c r="W26" s="36"/>
    </row>
    <row r="27" spans="1:23" ht="18">
      <c r="A27" s="36">
        <v>6</v>
      </c>
      <c r="B27" s="37" t="s">
        <v>151</v>
      </c>
      <c r="C27" s="44"/>
      <c r="D27" s="44"/>
      <c r="E27" s="36"/>
      <c r="F27" s="36"/>
      <c r="G27" s="36"/>
      <c r="H27" s="36"/>
      <c r="I27" s="36"/>
      <c r="J27" s="45">
        <f t="shared" si="16"/>
        <v>1020</v>
      </c>
      <c r="K27" s="45">
        <v>990</v>
      </c>
      <c r="L27" s="45">
        <v>30</v>
      </c>
      <c r="M27" s="45">
        <f t="shared" si="17"/>
        <v>89</v>
      </c>
      <c r="N27" s="45">
        <v>86</v>
      </c>
      <c r="O27" s="45">
        <v>3</v>
      </c>
      <c r="P27" s="40">
        <f t="shared" si="19"/>
        <v>931</v>
      </c>
      <c r="Q27" s="40">
        <f t="shared" si="20"/>
        <v>904</v>
      </c>
      <c r="R27" s="40">
        <f t="shared" si="21"/>
        <v>27</v>
      </c>
      <c r="S27" s="40">
        <f t="shared" si="18"/>
        <v>60</v>
      </c>
      <c r="T27" s="45">
        <v>58</v>
      </c>
      <c r="U27" s="45">
        <v>2</v>
      </c>
      <c r="V27" s="57"/>
      <c r="W27" s="36"/>
    </row>
    <row r="28" spans="1:23" ht="18">
      <c r="A28" s="36">
        <v>7</v>
      </c>
      <c r="B28" s="51" t="s">
        <v>150</v>
      </c>
      <c r="C28" s="44"/>
      <c r="D28" s="38"/>
      <c r="E28" s="36"/>
      <c r="F28" s="36"/>
      <c r="G28" s="36"/>
      <c r="H28" s="36"/>
      <c r="I28" s="36"/>
      <c r="J28" s="45">
        <f t="shared" si="16"/>
        <v>828</v>
      </c>
      <c r="K28" s="45">
        <v>804</v>
      </c>
      <c r="L28" s="45">
        <v>24</v>
      </c>
      <c r="M28" s="45">
        <f t="shared" si="17"/>
        <v>72</v>
      </c>
      <c r="N28" s="45">
        <v>70</v>
      </c>
      <c r="O28" s="45">
        <v>2</v>
      </c>
      <c r="P28" s="40">
        <f t="shared" si="19"/>
        <v>756</v>
      </c>
      <c r="Q28" s="40">
        <f t="shared" si="20"/>
        <v>734</v>
      </c>
      <c r="R28" s="40">
        <f t="shared" si="21"/>
        <v>22</v>
      </c>
      <c r="S28" s="40">
        <f t="shared" si="18"/>
        <v>48</v>
      </c>
      <c r="T28" s="45">
        <v>47</v>
      </c>
      <c r="U28" s="45">
        <v>1</v>
      </c>
      <c r="V28" s="57"/>
      <c r="W28" s="36"/>
    </row>
    <row r="29" spans="1:23" ht="18">
      <c r="A29" s="36">
        <v>8</v>
      </c>
      <c r="B29" s="37" t="s">
        <v>149</v>
      </c>
      <c r="C29" s="44"/>
      <c r="D29" s="38"/>
      <c r="E29" s="36"/>
      <c r="F29" s="36"/>
      <c r="G29" s="36"/>
      <c r="H29" s="36"/>
      <c r="I29" s="36"/>
      <c r="J29" s="45">
        <f t="shared" si="16"/>
        <v>742</v>
      </c>
      <c r="K29" s="45">
        <v>720</v>
      </c>
      <c r="L29" s="45">
        <v>22</v>
      </c>
      <c r="M29" s="45">
        <f t="shared" si="17"/>
        <v>64</v>
      </c>
      <c r="N29" s="45">
        <v>62</v>
      </c>
      <c r="O29" s="45">
        <v>2</v>
      </c>
      <c r="P29" s="40">
        <f t="shared" si="19"/>
        <v>678</v>
      </c>
      <c r="Q29" s="40">
        <f t="shared" si="20"/>
        <v>658</v>
      </c>
      <c r="R29" s="40">
        <f t="shared" si="21"/>
        <v>20</v>
      </c>
      <c r="S29" s="40">
        <f t="shared" si="18"/>
        <v>43</v>
      </c>
      <c r="T29" s="45">
        <v>42</v>
      </c>
      <c r="U29" s="45">
        <v>1</v>
      </c>
      <c r="V29" s="57"/>
      <c r="W29" s="36"/>
    </row>
  </sheetData>
  <sheetProtection/>
  <mergeCells count="19">
    <mergeCell ref="J5:L7"/>
    <mergeCell ref="M5:O7"/>
    <mergeCell ref="V5:V8"/>
    <mergeCell ref="W5:W8"/>
    <mergeCell ref="F5:I6"/>
    <mergeCell ref="F7:F8"/>
    <mergeCell ref="G7:G8"/>
    <mergeCell ref="H7:I7"/>
    <mergeCell ref="S5:U7"/>
    <mergeCell ref="A1:B1"/>
    <mergeCell ref="A2:V2"/>
    <mergeCell ref="A3:V3"/>
    <mergeCell ref="O4:W4"/>
    <mergeCell ref="A5:A8"/>
    <mergeCell ref="B5:B8"/>
    <mergeCell ref="C5:C8"/>
    <mergeCell ref="D5:D8"/>
    <mergeCell ref="E5:E8"/>
    <mergeCell ref="P5:R7"/>
  </mergeCells>
  <printOptions/>
  <pageMargins left="0.7" right="0.7" top="0.75" bottom="0.75" header="0.3" footer="0.3"/>
  <pageSetup fitToHeight="0" fitToWidth="1" horizontalDpi="600" verticalDpi="600" orientation="landscape" paperSize="9" scale="53" r:id="rId1"/>
</worksheet>
</file>

<file path=xl/worksheets/sheet5.xml><?xml version="1.0" encoding="utf-8"?>
<worksheet xmlns="http://schemas.openxmlformats.org/spreadsheetml/2006/main" xmlns:r="http://schemas.openxmlformats.org/officeDocument/2006/relationships">
  <dimension ref="A1:IV85"/>
  <sheetViews>
    <sheetView zoomScale="85" zoomScaleNormal="85" zoomScalePageLayoutView="0" workbookViewId="0" topLeftCell="A1">
      <pane xSplit="5" ySplit="7" topLeftCell="F8" activePane="bottomRight" state="frozen"/>
      <selection pane="topLeft" activeCell="M20" sqref="M20"/>
      <selection pane="topRight" activeCell="M20" sqref="M20"/>
      <selection pane="bottomLeft" activeCell="M20" sqref="M20"/>
      <selection pane="bottomRight" activeCell="M20" sqref="M20"/>
    </sheetView>
  </sheetViews>
  <sheetFormatPr defaultColWidth="11.00390625" defaultRowHeight="15"/>
  <cols>
    <col min="1" max="1" width="6.8515625" style="127" customWidth="1"/>
    <col min="2" max="2" width="43.00390625" style="128" customWidth="1"/>
    <col min="3" max="3" width="12.8515625" style="129" hidden="1" customWidth="1"/>
    <col min="4" max="4" width="40.421875" style="129" hidden="1" customWidth="1"/>
    <col min="5" max="5" width="11.00390625" style="16" customWidth="1"/>
    <col min="6" max="8" width="12.8515625" style="130" customWidth="1"/>
    <col min="9" max="9" width="12.7109375" style="130" customWidth="1"/>
    <col min="10" max="10" width="10.8515625" style="130" customWidth="1"/>
    <col min="11" max="15" width="11.28125" style="130" customWidth="1"/>
    <col min="16" max="16" width="11.28125" style="144" customWidth="1"/>
    <col min="17" max="17" width="11.28125" style="130" customWidth="1"/>
    <col min="18" max="18" width="17.57421875" style="129" customWidth="1"/>
    <col min="19" max="19" width="14.28125" style="129" customWidth="1"/>
    <col min="20" max="20" width="11.28125" style="16" customWidth="1"/>
    <col min="21" max="249" width="8.8515625" style="16" customWidth="1"/>
    <col min="250" max="250" width="6.8515625" style="16" customWidth="1"/>
    <col min="251" max="251" width="27.421875" style="16" customWidth="1"/>
    <col min="252" max="252" width="12.8515625" style="16" customWidth="1"/>
    <col min="253" max="253" width="0" style="16" hidden="1" customWidth="1"/>
    <col min="254" max="254" width="40.421875" style="16" customWidth="1"/>
    <col min="255" max="255" width="9.140625" style="16" customWidth="1"/>
    <col min="256" max="16384" width="11.00390625" style="16" customWidth="1"/>
  </cols>
  <sheetData>
    <row r="1" spans="1:19" ht="13.5">
      <c r="A1" s="406" t="s">
        <v>343</v>
      </c>
      <c r="B1" s="406"/>
      <c r="C1" s="17"/>
      <c r="D1" s="17"/>
      <c r="E1" s="15"/>
      <c r="F1" s="15"/>
      <c r="G1" s="15"/>
      <c r="H1" s="15"/>
      <c r="I1" s="15"/>
      <c r="J1" s="15"/>
      <c r="K1" s="15"/>
      <c r="L1" s="15"/>
      <c r="M1" s="15"/>
      <c r="N1" s="15"/>
      <c r="O1" s="15"/>
      <c r="P1" s="142"/>
      <c r="Q1" s="15"/>
      <c r="R1" s="15"/>
      <c r="S1" s="15"/>
    </row>
    <row r="2" spans="1:19" ht="13.5">
      <c r="A2" s="407" t="s">
        <v>344</v>
      </c>
      <c r="B2" s="407"/>
      <c r="C2" s="407"/>
      <c r="D2" s="407"/>
      <c r="E2" s="407"/>
      <c r="F2" s="407"/>
      <c r="G2" s="407"/>
      <c r="H2" s="407"/>
      <c r="I2" s="407"/>
      <c r="J2" s="407"/>
      <c r="K2" s="407"/>
      <c r="L2" s="407"/>
      <c r="M2" s="407"/>
      <c r="N2" s="407"/>
      <c r="O2" s="407"/>
      <c r="P2" s="407"/>
      <c r="Q2" s="407"/>
      <c r="R2" s="407"/>
      <c r="S2" s="407"/>
    </row>
    <row r="3" spans="1:19" ht="13.5">
      <c r="A3" s="408" t="s">
        <v>248</v>
      </c>
      <c r="B3" s="408"/>
      <c r="C3" s="408"/>
      <c r="D3" s="408"/>
      <c r="E3" s="408"/>
      <c r="F3" s="408"/>
      <c r="G3" s="408"/>
      <c r="H3" s="408"/>
      <c r="I3" s="408"/>
      <c r="J3" s="408"/>
      <c r="K3" s="408"/>
      <c r="L3" s="408"/>
      <c r="M3" s="408"/>
      <c r="N3" s="408"/>
      <c r="O3" s="408"/>
      <c r="P3" s="408"/>
      <c r="Q3" s="408"/>
      <c r="R3" s="408"/>
      <c r="S3" s="408"/>
    </row>
    <row r="4" spans="1:19" ht="13.5">
      <c r="A4" s="18"/>
      <c r="B4" s="19"/>
      <c r="C4" s="18"/>
      <c r="D4" s="18"/>
      <c r="E4" s="18"/>
      <c r="F4" s="20"/>
      <c r="G4" s="20"/>
      <c r="H4" s="18"/>
      <c r="I4" s="18"/>
      <c r="J4" s="18"/>
      <c r="K4" s="18"/>
      <c r="L4" s="18"/>
      <c r="M4" s="18"/>
      <c r="N4" s="18"/>
      <c r="O4" s="18"/>
      <c r="P4" s="20"/>
      <c r="Q4" s="18"/>
      <c r="R4" s="445" t="s">
        <v>0</v>
      </c>
      <c r="S4" s="445"/>
    </row>
    <row r="5" spans="1:19" ht="45" customHeight="1">
      <c r="A5" s="446" t="s">
        <v>10</v>
      </c>
      <c r="B5" s="447" t="s">
        <v>249</v>
      </c>
      <c r="C5" s="446" t="s">
        <v>250</v>
      </c>
      <c r="D5" s="446" t="s">
        <v>251</v>
      </c>
      <c r="E5" s="446" t="s">
        <v>224</v>
      </c>
      <c r="F5" s="446" t="s">
        <v>116</v>
      </c>
      <c r="G5" s="446"/>
      <c r="H5" s="446"/>
      <c r="I5" s="446" t="s">
        <v>225</v>
      </c>
      <c r="J5" s="446"/>
      <c r="K5" s="446"/>
      <c r="L5" s="448" t="s">
        <v>214</v>
      </c>
      <c r="M5" s="449"/>
      <c r="N5" s="450"/>
      <c r="O5" s="448" t="s">
        <v>345</v>
      </c>
      <c r="P5" s="449"/>
      <c r="Q5" s="450"/>
      <c r="R5" s="380" t="s">
        <v>169</v>
      </c>
      <c r="S5" s="446" t="s">
        <v>12</v>
      </c>
    </row>
    <row r="6" spans="1:19" ht="41.25">
      <c r="A6" s="446"/>
      <c r="B6" s="447"/>
      <c r="C6" s="446"/>
      <c r="D6" s="446"/>
      <c r="E6" s="446"/>
      <c r="F6" s="66" t="s">
        <v>15</v>
      </c>
      <c r="G6" s="66" t="s">
        <v>227</v>
      </c>
      <c r="H6" s="66" t="s">
        <v>228</v>
      </c>
      <c r="I6" s="67" t="s">
        <v>15</v>
      </c>
      <c r="J6" s="23" t="s">
        <v>227</v>
      </c>
      <c r="K6" s="23" t="s">
        <v>228</v>
      </c>
      <c r="L6" s="122" t="s">
        <v>226</v>
      </c>
      <c r="M6" s="65" t="s">
        <v>227</v>
      </c>
      <c r="N6" s="65" t="s">
        <v>228</v>
      </c>
      <c r="O6" s="122" t="s">
        <v>226</v>
      </c>
      <c r="P6" s="143" t="s">
        <v>227</v>
      </c>
      <c r="Q6" s="65" t="s">
        <v>228</v>
      </c>
      <c r="R6" s="380"/>
      <c r="S6" s="446"/>
    </row>
    <row r="7" spans="1:21" ht="14.25" customHeight="1">
      <c r="A7" s="68"/>
      <c r="B7" s="66" t="s">
        <v>219</v>
      </c>
      <c r="C7" s="68"/>
      <c r="D7" s="68"/>
      <c r="E7" s="68"/>
      <c r="F7" s="69">
        <f aca="true" t="shared" si="0" ref="F7:K7">F8+F58</f>
        <v>1650024</v>
      </c>
      <c r="G7" s="69">
        <f t="shared" si="0"/>
        <v>1560785</v>
      </c>
      <c r="H7" s="69">
        <f t="shared" si="0"/>
        <v>89239</v>
      </c>
      <c r="I7" s="69">
        <f t="shared" si="0"/>
        <v>317252</v>
      </c>
      <c r="J7" s="69">
        <f t="shared" si="0"/>
        <v>300876</v>
      </c>
      <c r="K7" s="69">
        <f t="shared" si="0"/>
        <v>16376</v>
      </c>
      <c r="L7" s="69">
        <f>L8+L58</f>
        <v>1317670</v>
      </c>
      <c r="M7" s="69">
        <f>M8+M58</f>
        <v>1259909</v>
      </c>
      <c r="N7" s="69">
        <f>N8+N58</f>
        <v>72863</v>
      </c>
      <c r="O7" s="69">
        <f>O8+O58</f>
        <v>391339</v>
      </c>
      <c r="P7" s="69">
        <f>P8+P58</f>
        <v>395135</v>
      </c>
      <c r="Q7" s="69">
        <v>21337</v>
      </c>
      <c r="R7" s="70"/>
      <c r="S7" s="68"/>
      <c r="T7" s="147"/>
      <c r="U7" s="146"/>
    </row>
    <row r="8" spans="1:19" s="155" customFormat="1" ht="13.5">
      <c r="A8" s="150" t="s">
        <v>16</v>
      </c>
      <c r="B8" s="150" t="s">
        <v>229</v>
      </c>
      <c r="C8" s="153"/>
      <c r="D8" s="153"/>
      <c r="E8" s="153"/>
      <c r="F8" s="151">
        <f aca="true" t="shared" si="1" ref="F8:K8">F9+F13+F20+F22+F46+F49+F56+F54</f>
        <v>778477</v>
      </c>
      <c r="G8" s="151">
        <f t="shared" si="1"/>
        <v>732520</v>
      </c>
      <c r="H8" s="151">
        <f t="shared" si="1"/>
        <v>45957</v>
      </c>
      <c r="I8" s="151">
        <f t="shared" si="1"/>
        <v>165534</v>
      </c>
      <c r="J8" s="151">
        <f t="shared" si="1"/>
        <v>156543</v>
      </c>
      <c r="K8" s="151">
        <f t="shared" si="1"/>
        <v>8991</v>
      </c>
      <c r="L8" s="151">
        <f aca="true" t="shared" si="2" ref="L8:Q8">L9+L13+L20+L22+L46+L49+L56+L54</f>
        <v>597841</v>
      </c>
      <c r="M8" s="151">
        <f t="shared" si="2"/>
        <v>575977</v>
      </c>
      <c r="N8" s="151">
        <f t="shared" si="2"/>
        <v>36966</v>
      </c>
      <c r="O8" s="151">
        <f>O9+O13+O20+O22+O46+O49+O56+O54</f>
        <v>203774</v>
      </c>
      <c r="P8" s="151">
        <f>P9+P13+P20+P22+P46+P49+P56+P54</f>
        <v>207570</v>
      </c>
      <c r="Q8" s="151">
        <f t="shared" si="2"/>
        <v>0</v>
      </c>
      <c r="R8" s="156"/>
      <c r="S8" s="153"/>
    </row>
    <row r="9" spans="1:19" ht="41.25">
      <c r="A9" s="66" t="s">
        <v>17</v>
      </c>
      <c r="B9" s="71" t="s">
        <v>252</v>
      </c>
      <c r="C9" s="71"/>
      <c r="D9" s="71"/>
      <c r="E9" s="71"/>
      <c r="F9" s="72">
        <f>F10</f>
        <v>126092</v>
      </c>
      <c r="G9" s="72">
        <f aca="true" t="shared" si="3" ref="G9:Q9">G10</f>
        <v>121865</v>
      </c>
      <c r="H9" s="72">
        <f t="shared" si="3"/>
        <v>4227</v>
      </c>
      <c r="I9" s="72">
        <f t="shared" si="3"/>
        <v>34157</v>
      </c>
      <c r="J9" s="72">
        <f t="shared" si="3"/>
        <v>32651</v>
      </c>
      <c r="K9" s="72">
        <f t="shared" si="3"/>
        <v>1506</v>
      </c>
      <c r="L9" s="72">
        <f t="shared" si="3"/>
        <v>91935</v>
      </c>
      <c r="M9" s="72">
        <f t="shared" si="3"/>
        <v>89214</v>
      </c>
      <c r="N9" s="72">
        <f t="shared" si="3"/>
        <v>2721</v>
      </c>
      <c r="O9" s="72">
        <f t="shared" si="3"/>
        <v>39000</v>
      </c>
      <c r="P9" s="72">
        <f t="shared" si="3"/>
        <v>39000</v>
      </c>
      <c r="Q9" s="72">
        <f t="shared" si="3"/>
        <v>0</v>
      </c>
      <c r="R9" s="73"/>
      <c r="S9" s="71"/>
    </row>
    <row r="10" spans="1:256" ht="14.25">
      <c r="A10" s="74"/>
      <c r="B10" s="75" t="s">
        <v>253</v>
      </c>
      <c r="C10" s="75"/>
      <c r="D10" s="74"/>
      <c r="E10" s="74"/>
      <c r="F10" s="76">
        <f aca="true" t="shared" si="4" ref="F10:F19">G10+H10</f>
        <v>126092</v>
      </c>
      <c r="G10" s="76">
        <f>SUM(G11:G12)</f>
        <v>121865</v>
      </c>
      <c r="H10" s="76">
        <f>SUM(H11:H12)</f>
        <v>4227</v>
      </c>
      <c r="I10" s="76">
        <f>SUM(I11:I12)</f>
        <v>34157</v>
      </c>
      <c r="J10" s="76">
        <f>SUM(J11:J12)</f>
        <v>32651</v>
      </c>
      <c r="K10" s="76">
        <f>SUM(K11:K12)</f>
        <v>1506</v>
      </c>
      <c r="L10" s="76">
        <f aca="true" t="shared" si="5" ref="L10:Q10">SUM(L11:L12)</f>
        <v>91935</v>
      </c>
      <c r="M10" s="76">
        <f t="shared" si="5"/>
        <v>89214</v>
      </c>
      <c r="N10" s="76">
        <f t="shared" si="5"/>
        <v>2721</v>
      </c>
      <c r="O10" s="76">
        <f t="shared" si="5"/>
        <v>39000</v>
      </c>
      <c r="P10" s="76">
        <f>SUM(P11:P12)</f>
        <v>39000</v>
      </c>
      <c r="Q10" s="76">
        <f t="shared" si="5"/>
        <v>0</v>
      </c>
      <c r="R10" s="70"/>
      <c r="S10" s="74"/>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7"/>
      <c r="CH10" s="77"/>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7"/>
      <c r="FN10" s="77"/>
      <c r="FO10" s="77"/>
      <c r="FP10" s="77"/>
      <c r="FQ10" s="77"/>
      <c r="FR10" s="77"/>
      <c r="FS10" s="77"/>
      <c r="FT10" s="77"/>
      <c r="FU10" s="77"/>
      <c r="FV10" s="77"/>
      <c r="FW10" s="77"/>
      <c r="FX10" s="77"/>
      <c r="FY10" s="77"/>
      <c r="FZ10" s="77"/>
      <c r="GA10" s="77"/>
      <c r="GB10" s="77"/>
      <c r="GC10" s="77"/>
      <c r="GD10" s="77"/>
      <c r="GE10" s="77"/>
      <c r="GF10" s="77"/>
      <c r="GG10" s="77"/>
      <c r="GH10" s="77"/>
      <c r="GI10" s="77"/>
      <c r="GJ10" s="77"/>
      <c r="GK10" s="77"/>
      <c r="GL10" s="77"/>
      <c r="GM10" s="77"/>
      <c r="GN10" s="77"/>
      <c r="GO10" s="77"/>
      <c r="GP10" s="77"/>
      <c r="GQ10" s="77"/>
      <c r="GR10" s="77"/>
      <c r="GS10" s="77"/>
      <c r="GT10" s="77"/>
      <c r="GU10" s="77"/>
      <c r="GV10" s="77"/>
      <c r="GW10" s="77"/>
      <c r="GX10" s="77"/>
      <c r="GY10" s="77"/>
      <c r="GZ10" s="77"/>
      <c r="HA10" s="77"/>
      <c r="HB10" s="77"/>
      <c r="HC10" s="77"/>
      <c r="HD10" s="77"/>
      <c r="HE10" s="77"/>
      <c r="HF10" s="77"/>
      <c r="HG10" s="77"/>
      <c r="HH10" s="77"/>
      <c r="HI10" s="77"/>
      <c r="HJ10" s="77"/>
      <c r="HK10" s="77"/>
      <c r="HL10" s="77"/>
      <c r="HM10" s="77"/>
      <c r="HN10" s="77"/>
      <c r="HO10" s="77"/>
      <c r="HP10" s="77"/>
      <c r="HQ10" s="77"/>
      <c r="HR10" s="77"/>
      <c r="HS10" s="77"/>
      <c r="HT10" s="77"/>
      <c r="HU10" s="77"/>
      <c r="HV10" s="77"/>
      <c r="HW10" s="77"/>
      <c r="HX10" s="77"/>
      <c r="HY10" s="77"/>
      <c r="HZ10" s="77"/>
      <c r="IA10" s="77"/>
      <c r="IB10" s="77"/>
      <c r="IC10" s="77"/>
      <c r="ID10" s="77"/>
      <c r="IE10" s="77"/>
      <c r="IF10" s="77"/>
      <c r="IG10" s="77"/>
      <c r="IH10" s="77"/>
      <c r="II10" s="77"/>
      <c r="IJ10" s="77"/>
      <c r="IK10" s="77"/>
      <c r="IL10" s="77"/>
      <c r="IM10" s="77"/>
      <c r="IN10" s="77"/>
      <c r="IO10" s="77"/>
      <c r="IP10" s="77"/>
      <c r="IQ10" s="77"/>
      <c r="IR10" s="77"/>
      <c r="IS10" s="77"/>
      <c r="IT10" s="77"/>
      <c r="IU10" s="77"/>
      <c r="IV10" s="77"/>
    </row>
    <row r="11" spans="1:19" ht="41.25">
      <c r="A11" s="78">
        <v>1</v>
      </c>
      <c r="B11" s="79" t="s">
        <v>254</v>
      </c>
      <c r="C11" s="78" t="s">
        <v>255</v>
      </c>
      <c r="D11" s="78" t="s">
        <v>256</v>
      </c>
      <c r="E11" s="80" t="s">
        <v>257</v>
      </c>
      <c r="F11" s="81">
        <f t="shared" si="4"/>
        <v>83711</v>
      </c>
      <c r="G11" s="81">
        <v>79958</v>
      </c>
      <c r="H11" s="81">
        <v>3753</v>
      </c>
      <c r="I11" s="81">
        <f>J11+K11</f>
        <v>32157</v>
      </c>
      <c r="J11" s="81">
        <v>30651</v>
      </c>
      <c r="K11" s="81">
        <v>1506</v>
      </c>
      <c r="L11" s="81">
        <f>M11+N11</f>
        <v>51554</v>
      </c>
      <c r="M11" s="81">
        <f>G11-J11</f>
        <v>49307</v>
      </c>
      <c r="N11" s="81">
        <f>H11-K11</f>
        <v>2247</v>
      </c>
      <c r="O11" s="81">
        <f>P11+Q11</f>
        <v>28000</v>
      </c>
      <c r="P11" s="81">
        <v>28000</v>
      </c>
      <c r="Q11" s="81"/>
      <c r="R11" s="80" t="s">
        <v>258</v>
      </c>
      <c r="S11" s="68"/>
    </row>
    <row r="12" spans="1:19" ht="41.25">
      <c r="A12" s="78">
        <v>2</v>
      </c>
      <c r="B12" s="79" t="s">
        <v>259</v>
      </c>
      <c r="C12" s="78" t="s">
        <v>255</v>
      </c>
      <c r="D12" s="78" t="s">
        <v>256</v>
      </c>
      <c r="E12" s="80" t="s">
        <v>260</v>
      </c>
      <c r="F12" s="81">
        <f t="shared" si="4"/>
        <v>42381</v>
      </c>
      <c r="G12" s="81">
        <v>41907</v>
      </c>
      <c r="H12" s="81">
        <v>474</v>
      </c>
      <c r="I12" s="81">
        <f>J12+K12</f>
        <v>2000</v>
      </c>
      <c r="J12" s="81">
        <v>2000</v>
      </c>
      <c r="K12" s="81"/>
      <c r="L12" s="81">
        <f>M12+N12</f>
        <v>40381</v>
      </c>
      <c r="M12" s="81">
        <f aca="true" t="shared" si="6" ref="M12:M75">G12-J12</f>
        <v>39907</v>
      </c>
      <c r="N12" s="81">
        <f aca="true" t="shared" si="7" ref="N12:N75">H12-K12</f>
        <v>474</v>
      </c>
      <c r="O12" s="81">
        <f>P12+Q12</f>
        <v>11000</v>
      </c>
      <c r="P12" s="81">
        <v>11000</v>
      </c>
      <c r="Q12" s="81"/>
      <c r="R12" s="80" t="s">
        <v>258</v>
      </c>
      <c r="S12" s="68"/>
    </row>
    <row r="13" spans="1:19" ht="41.25">
      <c r="A13" s="66" t="s">
        <v>18</v>
      </c>
      <c r="B13" s="71" t="s">
        <v>261</v>
      </c>
      <c r="C13" s="71"/>
      <c r="D13" s="71"/>
      <c r="E13" s="68"/>
      <c r="F13" s="69">
        <f t="shared" si="4"/>
        <v>174098</v>
      </c>
      <c r="G13" s="69">
        <f>SUM(G14:G19)</f>
        <v>165808</v>
      </c>
      <c r="H13" s="69">
        <f>SUM(H14:H19)</f>
        <v>8290</v>
      </c>
      <c r="I13" s="69">
        <f>J13+K13</f>
        <v>38134</v>
      </c>
      <c r="J13" s="69">
        <f aca="true" t="shared" si="8" ref="J13:Q13">SUM(J14:J19)</f>
        <v>36319</v>
      </c>
      <c r="K13" s="69">
        <f t="shared" si="8"/>
        <v>1815</v>
      </c>
      <c r="L13" s="69">
        <f t="shared" si="8"/>
        <v>135964</v>
      </c>
      <c r="M13" s="69">
        <f t="shared" si="8"/>
        <v>129489</v>
      </c>
      <c r="N13" s="69">
        <f t="shared" si="8"/>
        <v>6475</v>
      </c>
      <c r="O13" s="69">
        <f t="shared" si="8"/>
        <v>47916</v>
      </c>
      <c r="P13" s="69">
        <f t="shared" si="8"/>
        <v>47916</v>
      </c>
      <c r="Q13" s="69">
        <f t="shared" si="8"/>
        <v>0</v>
      </c>
      <c r="R13" s="70"/>
      <c r="S13" s="68"/>
    </row>
    <row r="14" spans="1:19" ht="41.25">
      <c r="A14" s="78">
        <v>1</v>
      </c>
      <c r="B14" s="79" t="s">
        <v>262</v>
      </c>
      <c r="C14" s="78" t="s">
        <v>263</v>
      </c>
      <c r="D14" s="78" t="s">
        <v>264</v>
      </c>
      <c r="E14" s="80" t="s">
        <v>257</v>
      </c>
      <c r="F14" s="81">
        <f t="shared" si="4"/>
        <v>16000</v>
      </c>
      <c r="G14" s="81">
        <v>15200</v>
      </c>
      <c r="H14" s="81">
        <v>800</v>
      </c>
      <c r="I14" s="81">
        <f aca="true" t="shared" si="9" ref="I14:I19">J14+K14</f>
        <v>7984</v>
      </c>
      <c r="J14" s="81">
        <v>7484</v>
      </c>
      <c r="K14" s="81">
        <v>500</v>
      </c>
      <c r="L14" s="81">
        <f aca="true" t="shared" si="10" ref="L14:L19">M14+N14</f>
        <v>8016</v>
      </c>
      <c r="M14" s="81">
        <f t="shared" si="6"/>
        <v>7716</v>
      </c>
      <c r="N14" s="81">
        <f t="shared" si="7"/>
        <v>300</v>
      </c>
      <c r="O14" s="81">
        <f aca="true" t="shared" si="11" ref="O14:O19">P14+Q14</f>
        <v>7716</v>
      </c>
      <c r="P14" s="81">
        <v>7716</v>
      </c>
      <c r="Q14" s="81"/>
      <c r="R14" s="80" t="s">
        <v>258</v>
      </c>
      <c r="S14" s="68"/>
    </row>
    <row r="15" spans="1:19" ht="41.25">
      <c r="A15" s="78">
        <v>2</v>
      </c>
      <c r="B15" s="79" t="s">
        <v>265</v>
      </c>
      <c r="C15" s="78" t="s">
        <v>266</v>
      </c>
      <c r="D15" s="78" t="s">
        <v>264</v>
      </c>
      <c r="E15" s="80" t="s">
        <v>257</v>
      </c>
      <c r="F15" s="81">
        <f t="shared" si="4"/>
        <v>18000</v>
      </c>
      <c r="G15" s="81">
        <v>17100</v>
      </c>
      <c r="H15" s="81">
        <v>900</v>
      </c>
      <c r="I15" s="81">
        <f t="shared" si="9"/>
        <v>5435</v>
      </c>
      <c r="J15" s="81">
        <v>4835</v>
      </c>
      <c r="K15" s="81">
        <v>600</v>
      </c>
      <c r="L15" s="81">
        <f t="shared" si="10"/>
        <v>12565</v>
      </c>
      <c r="M15" s="81">
        <f t="shared" si="6"/>
        <v>12265</v>
      </c>
      <c r="N15" s="81">
        <f t="shared" si="7"/>
        <v>300</v>
      </c>
      <c r="O15" s="81">
        <f t="shared" si="11"/>
        <v>10000</v>
      </c>
      <c r="P15" s="81">
        <v>10000</v>
      </c>
      <c r="Q15" s="81"/>
      <c r="R15" s="80" t="s">
        <v>258</v>
      </c>
      <c r="S15" s="68"/>
    </row>
    <row r="16" spans="1:19" ht="41.25">
      <c r="A16" s="78">
        <v>3</v>
      </c>
      <c r="B16" s="79" t="s">
        <v>267</v>
      </c>
      <c r="C16" s="78" t="s">
        <v>268</v>
      </c>
      <c r="D16" s="78" t="s">
        <v>264</v>
      </c>
      <c r="E16" s="80" t="s">
        <v>257</v>
      </c>
      <c r="F16" s="81">
        <f t="shared" si="4"/>
        <v>27000</v>
      </c>
      <c r="G16" s="81">
        <v>25650</v>
      </c>
      <c r="H16" s="81">
        <v>1350</v>
      </c>
      <c r="I16" s="81">
        <f t="shared" si="9"/>
        <v>5715</v>
      </c>
      <c r="J16" s="81">
        <v>5000</v>
      </c>
      <c r="K16" s="81">
        <v>715</v>
      </c>
      <c r="L16" s="81">
        <f t="shared" si="10"/>
        <v>21285</v>
      </c>
      <c r="M16" s="81">
        <f t="shared" si="6"/>
        <v>20650</v>
      </c>
      <c r="N16" s="81">
        <f t="shared" si="7"/>
        <v>635</v>
      </c>
      <c r="O16" s="81">
        <f t="shared" si="11"/>
        <v>15000</v>
      </c>
      <c r="P16" s="81">
        <v>15000</v>
      </c>
      <c r="Q16" s="81"/>
      <c r="R16" s="80" t="s">
        <v>258</v>
      </c>
      <c r="S16" s="68"/>
    </row>
    <row r="17" spans="1:19" ht="41.25">
      <c r="A17" s="78">
        <v>4</v>
      </c>
      <c r="B17" s="79" t="s">
        <v>269</v>
      </c>
      <c r="C17" s="78" t="s">
        <v>270</v>
      </c>
      <c r="D17" s="78" t="s">
        <v>271</v>
      </c>
      <c r="E17" s="80" t="s">
        <v>260</v>
      </c>
      <c r="F17" s="81">
        <f t="shared" si="4"/>
        <v>50000</v>
      </c>
      <c r="G17" s="81">
        <v>47665</v>
      </c>
      <c r="H17" s="81">
        <v>2335</v>
      </c>
      <c r="I17" s="81">
        <f t="shared" si="9"/>
        <v>15000</v>
      </c>
      <c r="J17" s="81">
        <v>15000</v>
      </c>
      <c r="K17" s="81"/>
      <c r="L17" s="81">
        <f t="shared" si="10"/>
        <v>35000</v>
      </c>
      <c r="M17" s="81">
        <f t="shared" si="6"/>
        <v>32665</v>
      </c>
      <c r="N17" s="81">
        <f t="shared" si="7"/>
        <v>2335</v>
      </c>
      <c r="O17" s="81">
        <f t="shared" si="11"/>
        <v>10000</v>
      </c>
      <c r="P17" s="81">
        <v>10000</v>
      </c>
      <c r="Q17" s="81"/>
      <c r="R17" s="80" t="s">
        <v>258</v>
      </c>
      <c r="S17" s="68"/>
    </row>
    <row r="18" spans="1:19" ht="41.25">
      <c r="A18" s="78">
        <v>5</v>
      </c>
      <c r="B18" s="79" t="s">
        <v>272</v>
      </c>
      <c r="C18" s="78" t="s">
        <v>273</v>
      </c>
      <c r="D18" s="78" t="s">
        <v>264</v>
      </c>
      <c r="E18" s="80" t="s">
        <v>260</v>
      </c>
      <c r="F18" s="81">
        <f t="shared" si="4"/>
        <v>45000</v>
      </c>
      <c r="G18" s="81">
        <v>43000</v>
      </c>
      <c r="H18" s="81">
        <v>2000</v>
      </c>
      <c r="I18" s="81">
        <f t="shared" si="9"/>
        <v>2000</v>
      </c>
      <c r="J18" s="81">
        <v>2000</v>
      </c>
      <c r="K18" s="81"/>
      <c r="L18" s="81">
        <f t="shared" si="10"/>
        <v>43000</v>
      </c>
      <c r="M18" s="81">
        <f t="shared" si="6"/>
        <v>41000</v>
      </c>
      <c r="N18" s="81">
        <f t="shared" si="7"/>
        <v>2000</v>
      </c>
      <c r="O18" s="81">
        <f t="shared" si="11"/>
        <v>1000</v>
      </c>
      <c r="P18" s="81">
        <v>1000</v>
      </c>
      <c r="Q18" s="81"/>
      <c r="R18" s="80" t="s">
        <v>258</v>
      </c>
      <c r="S18" s="68"/>
    </row>
    <row r="19" spans="1:19" ht="41.25">
      <c r="A19" s="78">
        <v>6</v>
      </c>
      <c r="B19" s="79" t="s">
        <v>274</v>
      </c>
      <c r="C19" s="78" t="s">
        <v>275</v>
      </c>
      <c r="D19" s="78" t="s">
        <v>264</v>
      </c>
      <c r="E19" s="80" t="s">
        <v>260</v>
      </c>
      <c r="F19" s="81">
        <f t="shared" si="4"/>
        <v>18098</v>
      </c>
      <c r="G19" s="81">
        <v>17193</v>
      </c>
      <c r="H19" s="81">
        <v>905</v>
      </c>
      <c r="I19" s="81">
        <f t="shared" si="9"/>
        <v>2000</v>
      </c>
      <c r="J19" s="81">
        <v>2000</v>
      </c>
      <c r="K19" s="81"/>
      <c r="L19" s="81">
        <f t="shared" si="10"/>
        <v>16098</v>
      </c>
      <c r="M19" s="81">
        <f t="shared" si="6"/>
        <v>15193</v>
      </c>
      <c r="N19" s="81">
        <f t="shared" si="7"/>
        <v>905</v>
      </c>
      <c r="O19" s="81">
        <f t="shared" si="11"/>
        <v>4200</v>
      </c>
      <c r="P19" s="81">
        <v>4200</v>
      </c>
      <c r="Q19" s="81"/>
      <c r="R19" s="80" t="s">
        <v>258</v>
      </c>
      <c r="S19" s="68"/>
    </row>
    <row r="20" spans="1:256" ht="69">
      <c r="A20" s="82" t="s">
        <v>39</v>
      </c>
      <c r="B20" s="83" t="s">
        <v>276</v>
      </c>
      <c r="C20" s="82"/>
      <c r="D20" s="82"/>
      <c r="E20" s="66"/>
      <c r="F20" s="69">
        <f aca="true" t="shared" si="12" ref="F20:L20">F21</f>
        <v>30170</v>
      </c>
      <c r="G20" s="69">
        <f t="shared" si="12"/>
        <v>28733</v>
      </c>
      <c r="H20" s="69">
        <f t="shared" si="12"/>
        <v>1437</v>
      </c>
      <c r="I20" s="69">
        <f t="shared" si="12"/>
        <v>6490</v>
      </c>
      <c r="J20" s="69">
        <f t="shared" si="12"/>
        <v>6181</v>
      </c>
      <c r="K20" s="69">
        <f t="shared" si="12"/>
        <v>309</v>
      </c>
      <c r="L20" s="69">
        <f t="shared" si="12"/>
        <v>23680</v>
      </c>
      <c r="M20" s="81">
        <f t="shared" si="6"/>
        <v>22552</v>
      </c>
      <c r="N20" s="81">
        <f t="shared" si="7"/>
        <v>1128</v>
      </c>
      <c r="O20" s="69">
        <f>O21</f>
        <v>8000</v>
      </c>
      <c r="P20" s="69">
        <f>P21</f>
        <v>8000</v>
      </c>
      <c r="Q20" s="69">
        <f>Q21</f>
        <v>0</v>
      </c>
      <c r="R20" s="70"/>
      <c r="S20" s="68"/>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row>
    <row r="21" spans="1:19" ht="138">
      <c r="A21" s="78">
        <v>1</v>
      </c>
      <c r="B21" s="79" t="s">
        <v>277</v>
      </c>
      <c r="C21" s="78" t="s">
        <v>239</v>
      </c>
      <c r="D21" s="78" t="s">
        <v>278</v>
      </c>
      <c r="E21" s="80" t="s">
        <v>257</v>
      </c>
      <c r="F21" s="81">
        <f>G21+H21</f>
        <v>30170</v>
      </c>
      <c r="G21" s="81">
        <v>28733</v>
      </c>
      <c r="H21" s="81">
        <v>1437</v>
      </c>
      <c r="I21" s="81">
        <f>J21+K21</f>
        <v>6490</v>
      </c>
      <c r="J21" s="81">
        <v>6181</v>
      </c>
      <c r="K21" s="81">
        <v>309</v>
      </c>
      <c r="L21" s="81">
        <f>M21+N21</f>
        <v>23680</v>
      </c>
      <c r="M21" s="81">
        <f t="shared" si="6"/>
        <v>22552</v>
      </c>
      <c r="N21" s="81">
        <f t="shared" si="7"/>
        <v>1128</v>
      </c>
      <c r="O21" s="81">
        <f>P21+Q21</f>
        <v>8000</v>
      </c>
      <c r="P21" s="81">
        <v>8000</v>
      </c>
      <c r="Q21" s="81"/>
      <c r="R21" s="80" t="s">
        <v>279</v>
      </c>
      <c r="S21" s="68"/>
    </row>
    <row r="22" spans="1:25" ht="41.25">
      <c r="A22" s="66" t="s">
        <v>44</v>
      </c>
      <c r="B22" s="71" t="s">
        <v>280</v>
      </c>
      <c r="C22" s="71"/>
      <c r="D22" s="71"/>
      <c r="E22" s="71"/>
      <c r="F22" s="72">
        <f aca="true" t="shared" si="13" ref="F22:L22">F23+F27+F29</f>
        <v>176061</v>
      </c>
      <c r="G22" s="72">
        <f t="shared" si="13"/>
        <v>157013</v>
      </c>
      <c r="H22" s="72">
        <f t="shared" si="13"/>
        <v>19048</v>
      </c>
      <c r="I22" s="72">
        <f t="shared" si="13"/>
        <v>38111</v>
      </c>
      <c r="J22" s="72">
        <f t="shared" si="13"/>
        <v>35084</v>
      </c>
      <c r="K22" s="72">
        <f t="shared" si="13"/>
        <v>3027</v>
      </c>
      <c r="L22" s="72">
        <f t="shared" si="13"/>
        <v>122848</v>
      </c>
      <c r="M22" s="81">
        <f t="shared" si="6"/>
        <v>121929</v>
      </c>
      <c r="N22" s="81">
        <f t="shared" si="7"/>
        <v>16021</v>
      </c>
      <c r="O22" s="72">
        <f>O23+O27+O29</f>
        <v>40920</v>
      </c>
      <c r="P22" s="72">
        <f>P23+P27+P29</f>
        <v>44716</v>
      </c>
      <c r="Q22" s="72">
        <f>Q23+Q27+Q29</f>
        <v>0</v>
      </c>
      <c r="R22" s="73"/>
      <c r="S22" s="68"/>
      <c r="T22" s="444"/>
      <c r="U22" s="444"/>
      <c r="V22" s="444"/>
      <c r="W22" s="444"/>
      <c r="X22" s="444"/>
      <c r="Y22" s="444"/>
    </row>
    <row r="23" spans="1:256" ht="42.75">
      <c r="A23" s="84" t="s">
        <v>281</v>
      </c>
      <c r="B23" s="75" t="s">
        <v>282</v>
      </c>
      <c r="C23" s="75"/>
      <c r="D23" s="75"/>
      <c r="E23" s="85"/>
      <c r="F23" s="86">
        <f aca="true" t="shared" si="14" ref="F23:L23">F24+F25+F26</f>
        <v>33294</v>
      </c>
      <c r="G23" s="86">
        <f t="shared" si="14"/>
        <v>31708</v>
      </c>
      <c r="H23" s="86">
        <f t="shared" si="14"/>
        <v>1586.0000000000011</v>
      </c>
      <c r="I23" s="86">
        <f t="shared" si="14"/>
        <v>8114</v>
      </c>
      <c r="J23" s="86">
        <f t="shared" si="14"/>
        <v>7745</v>
      </c>
      <c r="K23" s="86">
        <f t="shared" si="14"/>
        <v>369</v>
      </c>
      <c r="L23" s="86">
        <f t="shared" si="14"/>
        <v>25180</v>
      </c>
      <c r="M23" s="81">
        <f t="shared" si="6"/>
        <v>23963</v>
      </c>
      <c r="N23" s="81">
        <f t="shared" si="7"/>
        <v>1217.0000000000011</v>
      </c>
      <c r="O23" s="86">
        <f>O24+O25+O26</f>
        <v>4000</v>
      </c>
      <c r="P23" s="86">
        <f>P24+P25+P26</f>
        <v>7796</v>
      </c>
      <c r="Q23" s="86">
        <f>Q24+Q25+Q26</f>
        <v>0</v>
      </c>
      <c r="R23" s="87"/>
      <c r="S23" s="68"/>
      <c r="T23" s="444"/>
      <c r="U23" s="444"/>
      <c r="V23" s="444"/>
      <c r="W23" s="444"/>
      <c r="X23" s="444"/>
      <c r="Y23" s="444"/>
      <c r="Z23" s="88"/>
      <c r="AA23" s="88"/>
      <c r="AB23" s="88"/>
      <c r="AC23" s="88"/>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8"/>
      <c r="BI23" s="88"/>
      <c r="BJ23" s="88"/>
      <c r="BK23" s="88"/>
      <c r="BL23" s="88"/>
      <c r="BM23" s="88"/>
      <c r="BN23" s="88"/>
      <c r="BO23" s="88"/>
      <c r="BP23" s="88"/>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c r="ID23" s="88"/>
      <c r="IE23" s="88"/>
      <c r="IF23" s="88"/>
      <c r="IG23" s="88"/>
      <c r="IH23" s="88"/>
      <c r="II23" s="88"/>
      <c r="IJ23" s="88"/>
      <c r="IK23" s="88"/>
      <c r="IL23" s="88"/>
      <c r="IM23" s="88"/>
      <c r="IN23" s="88"/>
      <c r="IO23" s="88"/>
      <c r="IP23" s="88"/>
      <c r="IQ23" s="88"/>
      <c r="IR23" s="88"/>
      <c r="IS23" s="88"/>
      <c r="IT23" s="88"/>
      <c r="IU23" s="88"/>
      <c r="IV23" s="88"/>
    </row>
    <row r="24" spans="1:19" ht="54.75">
      <c r="A24" s="89">
        <v>1</v>
      </c>
      <c r="B24" s="90" t="s">
        <v>283</v>
      </c>
      <c r="C24" s="90"/>
      <c r="D24" s="90"/>
      <c r="E24" s="91" t="s">
        <v>257</v>
      </c>
      <c r="F24" s="92">
        <f>G24+H24</f>
        <v>11231.8571</v>
      </c>
      <c r="G24" s="92">
        <v>10670.264244999998</v>
      </c>
      <c r="H24" s="92">
        <v>561.5928550000008</v>
      </c>
      <c r="I24" s="92">
        <f>J24+K24</f>
        <v>7764</v>
      </c>
      <c r="J24" s="92">
        <v>7395</v>
      </c>
      <c r="K24" s="92">
        <v>369</v>
      </c>
      <c r="L24" s="92">
        <f>M24+N24</f>
        <v>3467.8570999999993</v>
      </c>
      <c r="M24" s="81">
        <f t="shared" si="6"/>
        <v>3275.2642449999985</v>
      </c>
      <c r="N24" s="81">
        <f t="shared" si="7"/>
        <v>192.59285500000078</v>
      </c>
      <c r="O24" s="92">
        <f>P24+Q24</f>
        <v>2000</v>
      </c>
      <c r="P24" s="92">
        <v>2000</v>
      </c>
      <c r="Q24" s="92"/>
      <c r="R24" s="91" t="s">
        <v>65</v>
      </c>
      <c r="S24" s="68"/>
    </row>
    <row r="25" spans="1:19" ht="54.75">
      <c r="A25" s="89">
        <v>2</v>
      </c>
      <c r="B25" s="90" t="s">
        <v>284</v>
      </c>
      <c r="C25" s="90"/>
      <c r="D25" s="90"/>
      <c r="E25" s="91" t="s">
        <v>260</v>
      </c>
      <c r="F25" s="92">
        <f>G25+H25</f>
        <v>8824.8572</v>
      </c>
      <c r="G25" s="92">
        <v>8383.61434</v>
      </c>
      <c r="H25" s="92">
        <v>441.2428600000003</v>
      </c>
      <c r="I25" s="92">
        <f>J25+K25</f>
        <v>350</v>
      </c>
      <c r="J25" s="92">
        <v>350</v>
      </c>
      <c r="K25" s="93"/>
      <c r="L25" s="92">
        <f>M25+N25</f>
        <v>8474.8572</v>
      </c>
      <c r="M25" s="81">
        <f t="shared" si="6"/>
        <v>8033.61434</v>
      </c>
      <c r="N25" s="81">
        <f t="shared" si="7"/>
        <v>441.2428600000003</v>
      </c>
      <c r="O25" s="92">
        <f>P25+Q25</f>
        <v>2000</v>
      </c>
      <c r="P25" s="104">
        <v>2000</v>
      </c>
      <c r="Q25" s="93"/>
      <c r="R25" s="91" t="s">
        <v>65</v>
      </c>
      <c r="S25" s="68"/>
    </row>
    <row r="26" spans="1:19" ht="54.75">
      <c r="A26" s="89">
        <v>3</v>
      </c>
      <c r="B26" s="90" t="s">
        <v>285</v>
      </c>
      <c r="C26" s="90"/>
      <c r="D26" s="90"/>
      <c r="E26" s="91" t="s">
        <v>260</v>
      </c>
      <c r="F26" s="92">
        <f>G26+H26</f>
        <v>13237.2857</v>
      </c>
      <c r="G26" s="92">
        <f>11833.121415+821</f>
        <v>12654.121415</v>
      </c>
      <c r="H26" s="92">
        <f>1404.164285-821</f>
        <v>583.1642850000001</v>
      </c>
      <c r="I26" s="93"/>
      <c r="J26" s="93"/>
      <c r="K26" s="93"/>
      <c r="L26" s="92">
        <f>M26+N26</f>
        <v>13237.2857</v>
      </c>
      <c r="M26" s="81">
        <f t="shared" si="6"/>
        <v>12654.121415</v>
      </c>
      <c r="N26" s="81">
        <f t="shared" si="7"/>
        <v>583.1642850000001</v>
      </c>
      <c r="O26" s="93"/>
      <c r="P26" s="92">
        <v>3796</v>
      </c>
      <c r="Q26" s="93"/>
      <c r="R26" s="91" t="s">
        <v>65</v>
      </c>
      <c r="S26" s="68"/>
    </row>
    <row r="27" spans="1:256" ht="42.75">
      <c r="A27" s="94" t="s">
        <v>286</v>
      </c>
      <c r="B27" s="75" t="s">
        <v>287</v>
      </c>
      <c r="C27" s="75"/>
      <c r="D27" s="75"/>
      <c r="E27" s="74"/>
      <c r="F27" s="95">
        <f>F28</f>
        <v>3209</v>
      </c>
      <c r="G27" s="95">
        <f aca="true" t="shared" si="15" ref="G27:L27">G28</f>
        <v>3056</v>
      </c>
      <c r="H27" s="95">
        <f t="shared" si="15"/>
        <v>153</v>
      </c>
      <c r="I27" s="95">
        <f t="shared" si="15"/>
        <v>0</v>
      </c>
      <c r="J27" s="95">
        <f t="shared" si="15"/>
        <v>0</v>
      </c>
      <c r="K27" s="95">
        <f t="shared" si="15"/>
        <v>0</v>
      </c>
      <c r="L27" s="95">
        <f t="shared" si="15"/>
        <v>3056</v>
      </c>
      <c r="M27" s="81">
        <f t="shared" si="6"/>
        <v>3056</v>
      </c>
      <c r="N27" s="81">
        <f t="shared" si="7"/>
        <v>153</v>
      </c>
      <c r="O27" s="95">
        <f>O28</f>
        <v>1000</v>
      </c>
      <c r="P27" s="95">
        <f>P28</f>
        <v>1000</v>
      </c>
      <c r="Q27" s="95">
        <f>Q28</f>
        <v>0</v>
      </c>
      <c r="R27" s="96"/>
      <c r="S27" s="68"/>
      <c r="T27" s="444"/>
      <c r="U27" s="444"/>
      <c r="V27" s="444"/>
      <c r="W27" s="444"/>
      <c r="X27" s="444"/>
      <c r="Y27" s="444"/>
      <c r="Z27" s="88"/>
      <c r="AA27" s="88"/>
      <c r="AB27" s="88"/>
      <c r="AC27" s="88"/>
      <c r="AD27" s="88"/>
      <c r="AE27" s="88"/>
      <c r="AF27" s="88"/>
      <c r="AG27" s="88"/>
      <c r="AH27" s="88"/>
      <c r="AI27" s="88"/>
      <c r="AJ27" s="88"/>
      <c r="AK27" s="88"/>
      <c r="AL27" s="88"/>
      <c r="AM27" s="88"/>
      <c r="AN27" s="88"/>
      <c r="AO27" s="88"/>
      <c r="AP27" s="88"/>
      <c r="AQ27" s="88"/>
      <c r="AR27" s="88"/>
      <c r="AS27" s="88"/>
      <c r="AT27" s="88"/>
      <c r="AU27" s="88"/>
      <c r="AV27" s="88"/>
      <c r="AW27" s="88"/>
      <c r="AX27" s="88"/>
      <c r="AY27" s="88"/>
      <c r="AZ27" s="88"/>
      <c r="BA27" s="88"/>
      <c r="BB27" s="88"/>
      <c r="BC27" s="88"/>
      <c r="BD27" s="88"/>
      <c r="BE27" s="88"/>
      <c r="BF27" s="88"/>
      <c r="BG27" s="88"/>
      <c r="BH27" s="88"/>
      <c r="BI27" s="88"/>
      <c r="BJ27" s="88"/>
      <c r="BK27" s="88"/>
      <c r="BL27" s="88"/>
      <c r="BM27" s="88"/>
      <c r="BN27" s="88"/>
      <c r="BO27" s="88"/>
      <c r="BP27" s="88"/>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c r="ID27" s="88"/>
      <c r="IE27" s="88"/>
      <c r="IF27" s="88"/>
      <c r="IG27" s="88"/>
      <c r="IH27" s="88"/>
      <c r="II27" s="88"/>
      <c r="IJ27" s="88"/>
      <c r="IK27" s="88"/>
      <c r="IL27" s="88"/>
      <c r="IM27" s="88"/>
      <c r="IN27" s="88"/>
      <c r="IO27" s="88"/>
      <c r="IP27" s="88"/>
      <c r="IQ27" s="88"/>
      <c r="IR27" s="88"/>
      <c r="IS27" s="88"/>
      <c r="IT27" s="88"/>
      <c r="IU27" s="88"/>
      <c r="IV27" s="88"/>
    </row>
    <row r="28" spans="1:19" ht="41.25">
      <c r="A28" s="97">
        <v>1</v>
      </c>
      <c r="B28" s="79" t="s">
        <v>288</v>
      </c>
      <c r="C28" s="79"/>
      <c r="D28" s="79"/>
      <c r="E28" s="80" t="s">
        <v>260</v>
      </c>
      <c r="F28" s="81">
        <f>G28+H28</f>
        <v>3209</v>
      </c>
      <c r="G28" s="81">
        <v>3056</v>
      </c>
      <c r="H28" s="81">
        <v>153</v>
      </c>
      <c r="I28" s="81">
        <f>J28</f>
        <v>0</v>
      </c>
      <c r="J28" s="98">
        <v>0</v>
      </c>
      <c r="K28" s="98"/>
      <c r="L28" s="81">
        <f>M28</f>
        <v>3056</v>
      </c>
      <c r="M28" s="81">
        <f t="shared" si="6"/>
        <v>3056</v>
      </c>
      <c r="N28" s="81">
        <f t="shared" si="7"/>
        <v>153</v>
      </c>
      <c r="O28" s="81">
        <f>P28</f>
        <v>1000</v>
      </c>
      <c r="P28" s="98">
        <v>1000</v>
      </c>
      <c r="Q28" s="98"/>
      <c r="R28" s="91" t="s">
        <v>65</v>
      </c>
      <c r="S28" s="68"/>
    </row>
    <row r="29" spans="1:256" ht="72">
      <c r="A29" s="84" t="s">
        <v>289</v>
      </c>
      <c r="B29" s="75" t="s">
        <v>290</v>
      </c>
      <c r="C29" s="75"/>
      <c r="D29" s="75"/>
      <c r="E29" s="99"/>
      <c r="F29" s="76">
        <f aca="true" t="shared" si="16" ref="F29:K29">SUM(F30:F45)</f>
        <v>139558</v>
      </c>
      <c r="G29" s="76">
        <f t="shared" si="16"/>
        <v>122249</v>
      </c>
      <c r="H29" s="76">
        <f t="shared" si="16"/>
        <v>17309</v>
      </c>
      <c r="I29" s="76">
        <f t="shared" si="16"/>
        <v>29997</v>
      </c>
      <c r="J29" s="76">
        <f t="shared" si="16"/>
        <v>27339</v>
      </c>
      <c r="K29" s="76">
        <f t="shared" si="16"/>
        <v>2658</v>
      </c>
      <c r="L29" s="76">
        <f>SUM(L30:L45)</f>
        <v>94612</v>
      </c>
      <c r="M29" s="81">
        <f t="shared" si="6"/>
        <v>94910</v>
      </c>
      <c r="N29" s="81">
        <f t="shared" si="7"/>
        <v>14651</v>
      </c>
      <c r="O29" s="76">
        <f>SUM(O30:O45)</f>
        <v>35920</v>
      </c>
      <c r="P29" s="76">
        <f>SUM(P30:P45)</f>
        <v>35920</v>
      </c>
      <c r="Q29" s="76">
        <f>SUM(Q30:Q45)</f>
        <v>0</v>
      </c>
      <c r="R29" s="70"/>
      <c r="S29" s="68"/>
      <c r="T29" s="444"/>
      <c r="U29" s="444"/>
      <c r="V29" s="444"/>
      <c r="W29" s="444"/>
      <c r="X29" s="444"/>
      <c r="Y29" s="444"/>
      <c r="Z29" s="88"/>
      <c r="AA29" s="88"/>
      <c r="AB29" s="88"/>
      <c r="AC29" s="88"/>
      <c r="AD29" s="88"/>
      <c r="AE29" s="88"/>
      <c r="AF29" s="88"/>
      <c r="AG29" s="88"/>
      <c r="AH29" s="88"/>
      <c r="AI29" s="88"/>
      <c r="AJ29" s="88"/>
      <c r="AK29" s="88"/>
      <c r="AL29" s="88"/>
      <c r="AM29" s="88"/>
      <c r="AN29" s="88"/>
      <c r="AO29" s="88"/>
      <c r="AP29" s="88"/>
      <c r="AQ29" s="88"/>
      <c r="AR29" s="88"/>
      <c r="AS29" s="88"/>
      <c r="AT29" s="88"/>
      <c r="AU29" s="88"/>
      <c r="AV29" s="88"/>
      <c r="AW29" s="88"/>
      <c r="AX29" s="88"/>
      <c r="AY29" s="88"/>
      <c r="AZ29" s="88"/>
      <c r="BA29" s="88"/>
      <c r="BB29" s="88"/>
      <c r="BC29" s="88"/>
      <c r="BD29" s="88"/>
      <c r="BE29" s="88"/>
      <c r="BF29" s="88"/>
      <c r="BG29" s="88"/>
      <c r="BH29" s="88"/>
      <c r="BI29" s="88"/>
      <c r="BJ29" s="88"/>
      <c r="BK29" s="88"/>
      <c r="BL29" s="88"/>
      <c r="BM29" s="88"/>
      <c r="BN29" s="88"/>
      <c r="BO29" s="88"/>
      <c r="BP29" s="88"/>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c r="ID29" s="88"/>
      <c r="IE29" s="88"/>
      <c r="IF29" s="88"/>
      <c r="IG29" s="88"/>
      <c r="IH29" s="88"/>
      <c r="II29" s="88"/>
      <c r="IJ29" s="88"/>
      <c r="IK29" s="88"/>
      <c r="IL29" s="88"/>
      <c r="IM29" s="88"/>
      <c r="IN29" s="88"/>
      <c r="IO29" s="88"/>
      <c r="IP29" s="88"/>
      <c r="IQ29" s="88"/>
      <c r="IR29" s="88"/>
      <c r="IS29" s="88"/>
      <c r="IT29" s="88"/>
      <c r="IU29" s="88"/>
      <c r="IV29" s="88"/>
    </row>
    <row r="30" spans="1:256" ht="14.25">
      <c r="A30" s="101"/>
      <c r="B30" s="102" t="s">
        <v>291</v>
      </c>
      <c r="C30" s="100"/>
      <c r="D30" s="100"/>
      <c r="E30" s="99"/>
      <c r="F30" s="86"/>
      <c r="G30" s="86"/>
      <c r="H30" s="86"/>
      <c r="I30" s="76"/>
      <c r="J30" s="86"/>
      <c r="K30" s="86"/>
      <c r="L30" s="76"/>
      <c r="M30" s="81">
        <f t="shared" si="6"/>
        <v>0</v>
      </c>
      <c r="N30" s="81">
        <f t="shared" si="7"/>
        <v>0</v>
      </c>
      <c r="O30" s="76"/>
      <c r="P30" s="86"/>
      <c r="Q30" s="86"/>
      <c r="R30" s="84"/>
      <c r="S30" s="68"/>
      <c r="T30" s="88"/>
      <c r="U30" s="88"/>
      <c r="V30" s="88"/>
      <c r="W30" s="88"/>
      <c r="X30" s="88"/>
      <c r="Y30" s="88"/>
      <c r="Z30" s="88"/>
      <c r="AA30" s="88"/>
      <c r="AB30" s="88"/>
      <c r="AC30" s="88"/>
      <c r="AD30" s="88"/>
      <c r="AE30" s="88"/>
      <c r="AF30" s="88"/>
      <c r="AG30" s="88"/>
      <c r="AH30" s="88"/>
      <c r="AI30" s="88"/>
      <c r="AJ30" s="88"/>
      <c r="AK30" s="88"/>
      <c r="AL30" s="88"/>
      <c r="AM30" s="88"/>
      <c r="AN30" s="88"/>
      <c r="AO30" s="88"/>
      <c r="AP30" s="88"/>
      <c r="AQ30" s="88"/>
      <c r="AR30" s="88"/>
      <c r="AS30" s="88"/>
      <c r="AT30" s="88"/>
      <c r="AU30" s="88"/>
      <c r="AV30" s="88"/>
      <c r="AW30" s="88"/>
      <c r="AX30" s="88"/>
      <c r="AY30" s="88"/>
      <c r="AZ30" s="88"/>
      <c r="BA30" s="88"/>
      <c r="BB30" s="88"/>
      <c r="BC30" s="88"/>
      <c r="BD30" s="88"/>
      <c r="BE30" s="88"/>
      <c r="BF30" s="88"/>
      <c r="BG30" s="88"/>
      <c r="BH30" s="88"/>
      <c r="BI30" s="88"/>
      <c r="BJ30" s="88"/>
      <c r="BK30" s="88"/>
      <c r="BL30" s="88"/>
      <c r="BM30" s="88"/>
      <c r="BN30" s="88"/>
      <c r="BO30" s="88"/>
      <c r="BP30" s="88"/>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c r="ID30" s="88"/>
      <c r="IE30" s="88"/>
      <c r="IF30" s="88"/>
      <c r="IG30" s="88"/>
      <c r="IH30" s="88"/>
      <c r="II30" s="88"/>
      <c r="IJ30" s="88"/>
      <c r="IK30" s="88"/>
      <c r="IL30" s="88"/>
      <c r="IM30" s="88"/>
      <c r="IN30" s="88"/>
      <c r="IO30" s="88"/>
      <c r="IP30" s="88"/>
      <c r="IQ30" s="88"/>
      <c r="IR30" s="88"/>
      <c r="IS30" s="88"/>
      <c r="IT30" s="88"/>
      <c r="IU30" s="88"/>
      <c r="IV30" s="88"/>
    </row>
    <row r="31" spans="1:19" ht="27">
      <c r="A31" s="89">
        <v>1</v>
      </c>
      <c r="B31" s="79" t="s">
        <v>292</v>
      </c>
      <c r="C31" s="91" t="s">
        <v>293</v>
      </c>
      <c r="D31" s="103" t="s">
        <v>294</v>
      </c>
      <c r="E31" s="91" t="s">
        <v>295</v>
      </c>
      <c r="F31" s="104">
        <f>G31+H31</f>
        <v>14720</v>
      </c>
      <c r="G31" s="92">
        <v>12800</v>
      </c>
      <c r="H31" s="92">
        <v>1920</v>
      </c>
      <c r="I31" s="81">
        <f>J31+K31</f>
        <v>4416</v>
      </c>
      <c r="J31" s="92">
        <v>3933</v>
      </c>
      <c r="K31" s="92">
        <v>483</v>
      </c>
      <c r="L31" s="81">
        <f>M31+N31</f>
        <v>10304</v>
      </c>
      <c r="M31" s="81">
        <f t="shared" si="6"/>
        <v>8867</v>
      </c>
      <c r="N31" s="81">
        <f t="shared" si="7"/>
        <v>1437</v>
      </c>
      <c r="O31" s="81">
        <f>P31+Q31</f>
        <v>4000</v>
      </c>
      <c r="P31" s="92">
        <v>4000</v>
      </c>
      <c r="Q31" s="92"/>
      <c r="R31" s="91" t="s">
        <v>296</v>
      </c>
      <c r="S31" s="68"/>
    </row>
    <row r="32" spans="1:19" ht="27">
      <c r="A32" s="89">
        <v>2</v>
      </c>
      <c r="B32" s="79" t="s">
        <v>297</v>
      </c>
      <c r="C32" s="91" t="s">
        <v>298</v>
      </c>
      <c r="D32" s="103" t="s">
        <v>299</v>
      </c>
      <c r="E32" s="91" t="s">
        <v>260</v>
      </c>
      <c r="F32" s="104">
        <f>G32+H32</f>
        <v>26496</v>
      </c>
      <c r="G32" s="92">
        <v>23040</v>
      </c>
      <c r="H32" s="92">
        <v>3456</v>
      </c>
      <c r="I32" s="81"/>
      <c r="J32" s="92"/>
      <c r="K32" s="92"/>
      <c r="L32" s="81">
        <f>M32+N32</f>
        <v>26496</v>
      </c>
      <c r="M32" s="81">
        <f t="shared" si="6"/>
        <v>23040</v>
      </c>
      <c r="N32" s="81">
        <f t="shared" si="7"/>
        <v>3456</v>
      </c>
      <c r="O32" s="81">
        <f>P32+Q32</f>
        <v>6920</v>
      </c>
      <c r="P32" s="92">
        <v>6920</v>
      </c>
      <c r="Q32" s="92"/>
      <c r="R32" s="91" t="s">
        <v>296</v>
      </c>
      <c r="S32" s="68"/>
    </row>
    <row r="33" spans="1:256" ht="14.25">
      <c r="A33" s="101"/>
      <c r="B33" s="102" t="s">
        <v>300</v>
      </c>
      <c r="C33" s="100"/>
      <c r="D33" s="100"/>
      <c r="E33" s="99"/>
      <c r="F33" s="86"/>
      <c r="G33" s="86"/>
      <c r="H33" s="86"/>
      <c r="I33" s="76"/>
      <c r="J33" s="86"/>
      <c r="K33" s="86"/>
      <c r="L33" s="76"/>
      <c r="M33" s="81">
        <f t="shared" si="6"/>
        <v>0</v>
      </c>
      <c r="N33" s="81">
        <f t="shared" si="7"/>
        <v>0</v>
      </c>
      <c r="O33" s="76"/>
      <c r="P33" s="86"/>
      <c r="Q33" s="86"/>
      <c r="R33" s="84"/>
      <c r="S33" s="6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8"/>
      <c r="BY33" s="88"/>
      <c r="BZ33" s="88"/>
      <c r="CA33" s="88"/>
      <c r="CB33" s="88"/>
      <c r="CC33" s="88"/>
      <c r="CD33" s="88"/>
      <c r="CE33" s="88"/>
      <c r="CF33" s="88"/>
      <c r="CG33" s="88"/>
      <c r="CH33" s="88"/>
      <c r="CI33" s="88"/>
      <c r="CJ33" s="88"/>
      <c r="CK33" s="88"/>
      <c r="CL33" s="88"/>
      <c r="CM33" s="88"/>
      <c r="CN33" s="88"/>
      <c r="CO33" s="88"/>
      <c r="CP33" s="88"/>
      <c r="CQ33" s="88"/>
      <c r="CR33" s="88"/>
      <c r="CS33" s="88"/>
      <c r="CT33" s="88"/>
      <c r="CU33" s="88"/>
      <c r="CV33" s="88"/>
      <c r="CW33" s="88"/>
      <c r="CX33" s="88"/>
      <c r="CY33" s="88"/>
      <c r="CZ33" s="88"/>
      <c r="DA33" s="88"/>
      <c r="DB33" s="88"/>
      <c r="DC33" s="88"/>
      <c r="DD33" s="88"/>
      <c r="DE33" s="88"/>
      <c r="DF33" s="88"/>
      <c r="DG33" s="88"/>
      <c r="DH33" s="88"/>
      <c r="DI33" s="88"/>
      <c r="DJ33" s="88"/>
      <c r="DK33" s="88"/>
      <c r="DL33" s="88"/>
      <c r="DM33" s="88"/>
      <c r="DN33" s="88"/>
      <c r="DO33" s="88"/>
      <c r="DP33" s="88"/>
      <c r="DQ33" s="88"/>
      <c r="DR33" s="88"/>
      <c r="DS33" s="88"/>
      <c r="DT33" s="88"/>
      <c r="DU33" s="88"/>
      <c r="DV33" s="88"/>
      <c r="DW33" s="88"/>
      <c r="DX33" s="88"/>
      <c r="DY33" s="88"/>
      <c r="DZ33" s="88"/>
      <c r="EA33" s="88"/>
      <c r="EB33" s="88"/>
      <c r="EC33" s="88"/>
      <c r="ED33" s="88"/>
      <c r="EE33" s="88"/>
      <c r="EF33" s="88"/>
      <c r="EG33" s="88"/>
      <c r="EH33" s="88"/>
      <c r="EI33" s="88"/>
      <c r="EJ33" s="88"/>
      <c r="EK33" s="88"/>
      <c r="EL33" s="88"/>
      <c r="EM33" s="88"/>
      <c r="EN33" s="88"/>
      <c r="EO33" s="88"/>
      <c r="EP33" s="88"/>
      <c r="EQ33" s="88"/>
      <c r="ER33" s="88"/>
      <c r="ES33" s="88"/>
      <c r="ET33" s="88"/>
      <c r="EU33" s="88"/>
      <c r="EV33" s="88"/>
      <c r="EW33" s="88"/>
      <c r="EX33" s="88"/>
      <c r="EY33" s="88"/>
      <c r="EZ33" s="88"/>
      <c r="FA33" s="88"/>
      <c r="FB33" s="88"/>
      <c r="FC33" s="88"/>
      <c r="FD33" s="88"/>
      <c r="FE33" s="88"/>
      <c r="FF33" s="88"/>
      <c r="FG33" s="88"/>
      <c r="FH33" s="88"/>
      <c r="FI33" s="88"/>
      <c r="FJ33" s="88"/>
      <c r="FK33" s="88"/>
      <c r="FL33" s="88"/>
      <c r="FM33" s="88"/>
      <c r="FN33" s="88"/>
      <c r="FO33" s="88"/>
      <c r="FP33" s="88"/>
      <c r="FQ33" s="88"/>
      <c r="FR33" s="88"/>
      <c r="FS33" s="88"/>
      <c r="FT33" s="88"/>
      <c r="FU33" s="88"/>
      <c r="FV33" s="88"/>
      <c r="FW33" s="88"/>
      <c r="FX33" s="88"/>
      <c r="FY33" s="88"/>
      <c r="FZ33" s="88"/>
      <c r="GA33" s="88"/>
      <c r="GB33" s="88"/>
      <c r="GC33" s="88"/>
      <c r="GD33" s="88"/>
      <c r="GE33" s="88"/>
      <c r="GF33" s="88"/>
      <c r="GG33" s="88"/>
      <c r="GH33" s="88"/>
      <c r="GI33" s="88"/>
      <c r="GJ33" s="88"/>
      <c r="GK33" s="88"/>
      <c r="GL33" s="88"/>
      <c r="GM33" s="88"/>
      <c r="GN33" s="88"/>
      <c r="GO33" s="88"/>
      <c r="GP33" s="88"/>
      <c r="GQ33" s="88"/>
      <c r="GR33" s="88"/>
      <c r="GS33" s="88"/>
      <c r="GT33" s="88"/>
      <c r="GU33" s="88"/>
      <c r="GV33" s="88"/>
      <c r="GW33" s="88"/>
      <c r="GX33" s="88"/>
      <c r="GY33" s="88"/>
      <c r="GZ33" s="88"/>
      <c r="HA33" s="88"/>
      <c r="HB33" s="88"/>
      <c r="HC33" s="88"/>
      <c r="HD33" s="88"/>
      <c r="HE33" s="88"/>
      <c r="HF33" s="88"/>
      <c r="HG33" s="88"/>
      <c r="HH33" s="88"/>
      <c r="HI33" s="88"/>
      <c r="HJ33" s="88"/>
      <c r="HK33" s="88"/>
      <c r="HL33" s="88"/>
      <c r="HM33" s="88"/>
      <c r="HN33" s="88"/>
      <c r="HO33" s="88"/>
      <c r="HP33" s="88"/>
      <c r="HQ33" s="88"/>
      <c r="HR33" s="88"/>
      <c r="HS33" s="88"/>
      <c r="HT33" s="88"/>
      <c r="HU33" s="88"/>
      <c r="HV33" s="88"/>
      <c r="HW33" s="88"/>
      <c r="HX33" s="88"/>
      <c r="HY33" s="88"/>
      <c r="HZ33" s="88"/>
      <c r="IA33" s="88"/>
      <c r="IB33" s="88"/>
      <c r="IC33" s="88"/>
      <c r="ID33" s="88"/>
      <c r="IE33" s="88"/>
      <c r="IF33" s="88"/>
      <c r="IG33" s="88"/>
      <c r="IH33" s="88"/>
      <c r="II33" s="88"/>
      <c r="IJ33" s="88"/>
      <c r="IK33" s="88"/>
      <c r="IL33" s="88"/>
      <c r="IM33" s="88"/>
      <c r="IN33" s="88"/>
      <c r="IO33" s="88"/>
      <c r="IP33" s="88"/>
      <c r="IQ33" s="88"/>
      <c r="IR33" s="88"/>
      <c r="IS33" s="88"/>
      <c r="IT33" s="88"/>
      <c r="IU33" s="88"/>
      <c r="IV33" s="88"/>
    </row>
    <row r="34" spans="1:19" ht="69">
      <c r="A34" s="89">
        <v>1</v>
      </c>
      <c r="B34" s="105" t="s">
        <v>301</v>
      </c>
      <c r="C34" s="103" t="s">
        <v>302</v>
      </c>
      <c r="D34" s="103" t="s">
        <v>303</v>
      </c>
      <c r="E34" s="91" t="s">
        <v>295</v>
      </c>
      <c r="F34" s="104">
        <f>G34+H34</f>
        <v>24840</v>
      </c>
      <c r="G34" s="92">
        <v>21600</v>
      </c>
      <c r="H34" s="92">
        <v>3240</v>
      </c>
      <c r="I34" s="81">
        <f>J34+K34</f>
        <v>7452</v>
      </c>
      <c r="J34" s="92">
        <v>7106</v>
      </c>
      <c r="K34" s="92">
        <v>346</v>
      </c>
      <c r="L34" s="81">
        <f>M34+N34</f>
        <v>17388</v>
      </c>
      <c r="M34" s="81">
        <f t="shared" si="6"/>
        <v>14494</v>
      </c>
      <c r="N34" s="81">
        <f t="shared" si="7"/>
        <v>2894</v>
      </c>
      <c r="O34" s="81">
        <f>P34+Q34</f>
        <v>7000</v>
      </c>
      <c r="P34" s="92">
        <v>7000</v>
      </c>
      <c r="Q34" s="92"/>
      <c r="R34" s="91" t="s">
        <v>296</v>
      </c>
      <c r="S34" s="68"/>
    </row>
    <row r="35" spans="1:19" ht="41.25">
      <c r="A35" s="89">
        <v>2</v>
      </c>
      <c r="B35" s="105" t="s">
        <v>304</v>
      </c>
      <c r="C35" s="103" t="s">
        <v>305</v>
      </c>
      <c r="D35" s="103" t="s">
        <v>306</v>
      </c>
      <c r="E35" s="91" t="s">
        <v>260</v>
      </c>
      <c r="F35" s="104">
        <f>G35+H35</f>
        <v>14949</v>
      </c>
      <c r="G35" s="92">
        <v>13449</v>
      </c>
      <c r="H35" s="92">
        <v>1500</v>
      </c>
      <c r="I35" s="81"/>
      <c r="J35" s="92"/>
      <c r="K35" s="92"/>
      <c r="L35" s="81"/>
      <c r="M35" s="81">
        <f t="shared" si="6"/>
        <v>13449</v>
      </c>
      <c r="N35" s="81">
        <f t="shared" si="7"/>
        <v>1500</v>
      </c>
      <c r="O35" s="81">
        <f>P35+Q35</f>
        <v>4000</v>
      </c>
      <c r="P35" s="92">
        <v>4000</v>
      </c>
      <c r="Q35" s="92"/>
      <c r="R35" s="91" t="s">
        <v>296</v>
      </c>
      <c r="S35" s="68"/>
    </row>
    <row r="36" spans="1:256" ht="14.25">
      <c r="A36" s="101"/>
      <c r="B36" s="102" t="s">
        <v>307</v>
      </c>
      <c r="C36" s="100"/>
      <c r="D36" s="100"/>
      <c r="E36" s="99"/>
      <c r="F36" s="86"/>
      <c r="G36" s="86"/>
      <c r="H36" s="86"/>
      <c r="I36" s="76"/>
      <c r="J36" s="86"/>
      <c r="K36" s="86"/>
      <c r="L36" s="76"/>
      <c r="M36" s="81">
        <f t="shared" si="6"/>
        <v>0</v>
      </c>
      <c r="N36" s="81">
        <f t="shared" si="7"/>
        <v>0</v>
      </c>
      <c r="O36" s="76"/>
      <c r="P36" s="86"/>
      <c r="Q36" s="86"/>
      <c r="R36" s="84"/>
      <c r="S36" s="6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8"/>
      <c r="BR36" s="88"/>
      <c r="BS36" s="88"/>
      <c r="BT36" s="88"/>
      <c r="BU36" s="88"/>
      <c r="BV36" s="88"/>
      <c r="BW36" s="88"/>
      <c r="BX36" s="88"/>
      <c r="BY36" s="88"/>
      <c r="BZ36" s="88"/>
      <c r="CA36" s="88"/>
      <c r="CB36" s="88"/>
      <c r="CC36" s="88"/>
      <c r="CD36" s="88"/>
      <c r="CE36" s="88"/>
      <c r="CF36" s="88"/>
      <c r="CG36" s="88"/>
      <c r="CH36" s="88"/>
      <c r="CI36" s="88"/>
      <c r="CJ36" s="88"/>
      <c r="CK36" s="88"/>
      <c r="CL36" s="88"/>
      <c r="CM36" s="88"/>
      <c r="CN36" s="88"/>
      <c r="CO36" s="88"/>
      <c r="CP36" s="88"/>
      <c r="CQ36" s="88"/>
      <c r="CR36" s="88"/>
      <c r="CS36" s="88"/>
      <c r="CT36" s="88"/>
      <c r="CU36" s="88"/>
      <c r="CV36" s="88"/>
      <c r="CW36" s="88"/>
      <c r="CX36" s="88"/>
      <c r="CY36" s="88"/>
      <c r="CZ36" s="88"/>
      <c r="DA36" s="88"/>
      <c r="DB36" s="88"/>
      <c r="DC36" s="88"/>
      <c r="DD36" s="88"/>
      <c r="DE36" s="88"/>
      <c r="DF36" s="88"/>
      <c r="DG36" s="88"/>
      <c r="DH36" s="88"/>
      <c r="DI36" s="88"/>
      <c r="DJ36" s="88"/>
      <c r="DK36" s="88"/>
      <c r="DL36" s="88"/>
      <c r="DM36" s="88"/>
      <c r="DN36" s="88"/>
      <c r="DO36" s="88"/>
      <c r="DP36" s="88"/>
      <c r="DQ36" s="88"/>
      <c r="DR36" s="88"/>
      <c r="DS36" s="88"/>
      <c r="DT36" s="88"/>
      <c r="DU36" s="88"/>
      <c r="DV36" s="88"/>
      <c r="DW36" s="88"/>
      <c r="DX36" s="88"/>
      <c r="DY36" s="88"/>
      <c r="DZ36" s="88"/>
      <c r="EA36" s="88"/>
      <c r="EB36" s="88"/>
      <c r="EC36" s="88"/>
      <c r="ED36" s="88"/>
      <c r="EE36" s="88"/>
      <c r="EF36" s="88"/>
      <c r="EG36" s="88"/>
      <c r="EH36" s="88"/>
      <c r="EI36" s="88"/>
      <c r="EJ36" s="88"/>
      <c r="EK36" s="88"/>
      <c r="EL36" s="88"/>
      <c r="EM36" s="88"/>
      <c r="EN36" s="88"/>
      <c r="EO36" s="88"/>
      <c r="EP36" s="88"/>
      <c r="EQ36" s="88"/>
      <c r="ER36" s="88"/>
      <c r="ES36" s="88"/>
      <c r="ET36" s="88"/>
      <c r="EU36" s="88"/>
      <c r="EV36" s="88"/>
      <c r="EW36" s="88"/>
      <c r="EX36" s="88"/>
      <c r="EY36" s="88"/>
      <c r="EZ36" s="88"/>
      <c r="FA36" s="88"/>
      <c r="FB36" s="88"/>
      <c r="FC36" s="88"/>
      <c r="FD36" s="88"/>
      <c r="FE36" s="88"/>
      <c r="FF36" s="88"/>
      <c r="FG36" s="88"/>
      <c r="FH36" s="88"/>
      <c r="FI36" s="88"/>
      <c r="FJ36" s="88"/>
      <c r="FK36" s="88"/>
      <c r="FL36" s="88"/>
      <c r="FM36" s="88"/>
      <c r="FN36" s="88"/>
      <c r="FO36" s="88"/>
      <c r="FP36" s="88"/>
      <c r="FQ36" s="88"/>
      <c r="FR36" s="88"/>
      <c r="FS36" s="88"/>
      <c r="FT36" s="88"/>
      <c r="FU36" s="88"/>
      <c r="FV36" s="88"/>
      <c r="FW36" s="88"/>
      <c r="FX36" s="88"/>
      <c r="FY36" s="88"/>
      <c r="FZ36" s="88"/>
      <c r="GA36" s="88"/>
      <c r="GB36" s="88"/>
      <c r="GC36" s="88"/>
      <c r="GD36" s="88"/>
      <c r="GE36" s="88"/>
      <c r="GF36" s="88"/>
      <c r="GG36" s="88"/>
      <c r="GH36" s="88"/>
      <c r="GI36" s="88"/>
      <c r="GJ36" s="88"/>
      <c r="GK36" s="88"/>
      <c r="GL36" s="88"/>
      <c r="GM36" s="88"/>
      <c r="GN36" s="88"/>
      <c r="GO36" s="88"/>
      <c r="GP36" s="88"/>
      <c r="GQ36" s="88"/>
      <c r="GR36" s="88"/>
      <c r="GS36" s="88"/>
      <c r="GT36" s="88"/>
      <c r="GU36" s="88"/>
      <c r="GV36" s="88"/>
      <c r="GW36" s="88"/>
      <c r="GX36" s="88"/>
      <c r="GY36" s="88"/>
      <c r="GZ36" s="88"/>
      <c r="HA36" s="88"/>
      <c r="HB36" s="88"/>
      <c r="HC36" s="88"/>
      <c r="HD36" s="88"/>
      <c r="HE36" s="88"/>
      <c r="HF36" s="88"/>
      <c r="HG36" s="88"/>
      <c r="HH36" s="88"/>
      <c r="HI36" s="88"/>
      <c r="HJ36" s="88"/>
      <c r="HK36" s="88"/>
      <c r="HL36" s="88"/>
      <c r="HM36" s="88"/>
      <c r="HN36" s="88"/>
      <c r="HO36" s="88"/>
      <c r="HP36" s="88"/>
      <c r="HQ36" s="88"/>
      <c r="HR36" s="88"/>
      <c r="HS36" s="88"/>
      <c r="HT36" s="88"/>
      <c r="HU36" s="88"/>
      <c r="HV36" s="88"/>
      <c r="HW36" s="88"/>
      <c r="HX36" s="88"/>
      <c r="HY36" s="88"/>
      <c r="HZ36" s="88"/>
      <c r="IA36" s="88"/>
      <c r="IB36" s="88"/>
      <c r="IC36" s="88"/>
      <c r="ID36" s="88"/>
      <c r="IE36" s="88"/>
      <c r="IF36" s="88"/>
      <c r="IG36" s="88"/>
      <c r="IH36" s="88"/>
      <c r="II36" s="88"/>
      <c r="IJ36" s="88"/>
      <c r="IK36" s="88"/>
      <c r="IL36" s="88"/>
      <c r="IM36" s="88"/>
      <c r="IN36" s="88"/>
      <c r="IO36" s="88"/>
      <c r="IP36" s="88"/>
      <c r="IQ36" s="88"/>
      <c r="IR36" s="88"/>
      <c r="IS36" s="88"/>
      <c r="IT36" s="88"/>
      <c r="IU36" s="88"/>
      <c r="IV36" s="88"/>
    </row>
    <row r="37" spans="1:19" ht="82.5">
      <c r="A37" s="89">
        <v>1</v>
      </c>
      <c r="B37" s="105" t="s">
        <v>308</v>
      </c>
      <c r="C37" s="103" t="s">
        <v>309</v>
      </c>
      <c r="D37" s="103" t="s">
        <v>310</v>
      </c>
      <c r="E37" s="91" t="s">
        <v>295</v>
      </c>
      <c r="F37" s="104">
        <f>G37+H37</f>
        <v>11040</v>
      </c>
      <c r="G37" s="92">
        <v>9600</v>
      </c>
      <c r="H37" s="92">
        <v>1440</v>
      </c>
      <c r="I37" s="81">
        <f aca="true" t="shared" si="17" ref="I37:I43">J37+K37</f>
        <v>3312</v>
      </c>
      <c r="J37" s="92">
        <v>2878</v>
      </c>
      <c r="K37" s="92">
        <v>434</v>
      </c>
      <c r="L37" s="81">
        <f aca="true" t="shared" si="18" ref="L37:L43">M37+N37</f>
        <v>7728</v>
      </c>
      <c r="M37" s="81">
        <f t="shared" si="6"/>
        <v>6722</v>
      </c>
      <c r="N37" s="81">
        <f t="shared" si="7"/>
        <v>1006</v>
      </c>
      <c r="O37" s="81">
        <f aca="true" t="shared" si="19" ref="O37:O43">P37+Q37</f>
        <v>3000</v>
      </c>
      <c r="P37" s="92">
        <v>3000</v>
      </c>
      <c r="Q37" s="92"/>
      <c r="R37" s="91" t="s">
        <v>296</v>
      </c>
      <c r="S37" s="68"/>
    </row>
    <row r="38" spans="1:256" ht="14.25">
      <c r="A38" s="101"/>
      <c r="B38" s="102" t="s">
        <v>311</v>
      </c>
      <c r="C38" s="100"/>
      <c r="D38" s="100"/>
      <c r="E38" s="99"/>
      <c r="F38" s="86"/>
      <c r="G38" s="86"/>
      <c r="H38" s="86"/>
      <c r="I38" s="76">
        <f t="shared" si="17"/>
        <v>0</v>
      </c>
      <c r="J38" s="86"/>
      <c r="K38" s="86"/>
      <c r="L38" s="76">
        <f t="shared" si="18"/>
        <v>0</v>
      </c>
      <c r="M38" s="81">
        <f t="shared" si="6"/>
        <v>0</v>
      </c>
      <c r="N38" s="81">
        <f t="shared" si="7"/>
        <v>0</v>
      </c>
      <c r="O38" s="76">
        <f t="shared" si="19"/>
        <v>0</v>
      </c>
      <c r="P38" s="86"/>
      <c r="Q38" s="86"/>
      <c r="R38" s="84"/>
      <c r="S38" s="6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8"/>
      <c r="BR38" s="88"/>
      <c r="BS38" s="88"/>
      <c r="BT38" s="88"/>
      <c r="BU38" s="88"/>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88"/>
      <c r="DG38" s="88"/>
      <c r="DH38" s="88"/>
      <c r="DI38" s="88"/>
      <c r="DJ38" s="88"/>
      <c r="DK38" s="88"/>
      <c r="DL38" s="88"/>
      <c r="DM38" s="88"/>
      <c r="DN38" s="88"/>
      <c r="DO38" s="88"/>
      <c r="DP38" s="88"/>
      <c r="DQ38" s="88"/>
      <c r="DR38" s="88"/>
      <c r="DS38" s="88"/>
      <c r="DT38" s="88"/>
      <c r="DU38" s="88"/>
      <c r="DV38" s="88"/>
      <c r="DW38" s="88"/>
      <c r="DX38" s="88"/>
      <c r="DY38" s="88"/>
      <c r="DZ38" s="88"/>
      <c r="EA38" s="88"/>
      <c r="EB38" s="88"/>
      <c r="EC38" s="88"/>
      <c r="ED38" s="88"/>
      <c r="EE38" s="88"/>
      <c r="EF38" s="88"/>
      <c r="EG38" s="88"/>
      <c r="EH38" s="88"/>
      <c r="EI38" s="88"/>
      <c r="EJ38" s="88"/>
      <c r="EK38" s="88"/>
      <c r="EL38" s="88"/>
      <c r="EM38" s="88"/>
      <c r="EN38" s="88"/>
      <c r="EO38" s="88"/>
      <c r="EP38" s="88"/>
      <c r="EQ38" s="88"/>
      <c r="ER38" s="88"/>
      <c r="ES38" s="88"/>
      <c r="ET38" s="88"/>
      <c r="EU38" s="88"/>
      <c r="EV38" s="88"/>
      <c r="EW38" s="88"/>
      <c r="EX38" s="88"/>
      <c r="EY38" s="88"/>
      <c r="EZ38" s="88"/>
      <c r="FA38" s="88"/>
      <c r="FB38" s="88"/>
      <c r="FC38" s="88"/>
      <c r="FD38" s="88"/>
      <c r="FE38" s="88"/>
      <c r="FF38" s="88"/>
      <c r="FG38" s="88"/>
      <c r="FH38" s="88"/>
      <c r="FI38" s="88"/>
      <c r="FJ38" s="88"/>
      <c r="FK38" s="88"/>
      <c r="FL38" s="88"/>
      <c r="FM38" s="88"/>
      <c r="FN38" s="88"/>
      <c r="FO38" s="88"/>
      <c r="FP38" s="88"/>
      <c r="FQ38" s="88"/>
      <c r="FR38" s="88"/>
      <c r="FS38" s="88"/>
      <c r="FT38" s="88"/>
      <c r="FU38" s="88"/>
      <c r="FV38" s="88"/>
      <c r="FW38" s="88"/>
      <c r="FX38" s="88"/>
      <c r="FY38" s="88"/>
      <c r="FZ38" s="88"/>
      <c r="GA38" s="88"/>
      <c r="GB38" s="88"/>
      <c r="GC38" s="88"/>
      <c r="GD38" s="88"/>
      <c r="GE38" s="88"/>
      <c r="GF38" s="88"/>
      <c r="GG38" s="88"/>
      <c r="GH38" s="88"/>
      <c r="GI38" s="88"/>
      <c r="GJ38" s="88"/>
      <c r="GK38" s="88"/>
      <c r="GL38" s="88"/>
      <c r="GM38" s="88"/>
      <c r="GN38" s="88"/>
      <c r="GO38" s="88"/>
      <c r="GP38" s="88"/>
      <c r="GQ38" s="88"/>
      <c r="GR38" s="88"/>
      <c r="GS38" s="88"/>
      <c r="GT38" s="88"/>
      <c r="GU38" s="88"/>
      <c r="GV38" s="88"/>
      <c r="GW38" s="88"/>
      <c r="GX38" s="88"/>
      <c r="GY38" s="88"/>
      <c r="GZ38" s="88"/>
      <c r="HA38" s="88"/>
      <c r="HB38" s="88"/>
      <c r="HC38" s="88"/>
      <c r="HD38" s="88"/>
      <c r="HE38" s="88"/>
      <c r="HF38" s="88"/>
      <c r="HG38" s="88"/>
      <c r="HH38" s="88"/>
      <c r="HI38" s="88"/>
      <c r="HJ38" s="88"/>
      <c r="HK38" s="88"/>
      <c r="HL38" s="88"/>
      <c r="HM38" s="88"/>
      <c r="HN38" s="88"/>
      <c r="HO38" s="88"/>
      <c r="HP38" s="88"/>
      <c r="HQ38" s="88"/>
      <c r="HR38" s="88"/>
      <c r="HS38" s="88"/>
      <c r="HT38" s="88"/>
      <c r="HU38" s="88"/>
      <c r="HV38" s="88"/>
      <c r="HW38" s="88"/>
      <c r="HX38" s="88"/>
      <c r="HY38" s="88"/>
      <c r="HZ38" s="88"/>
      <c r="IA38" s="88"/>
      <c r="IB38" s="88"/>
      <c r="IC38" s="88"/>
      <c r="ID38" s="88"/>
      <c r="IE38" s="88"/>
      <c r="IF38" s="88"/>
      <c r="IG38" s="88"/>
      <c r="IH38" s="88"/>
      <c r="II38" s="88"/>
      <c r="IJ38" s="88"/>
      <c r="IK38" s="88"/>
      <c r="IL38" s="88"/>
      <c r="IM38" s="88"/>
      <c r="IN38" s="88"/>
      <c r="IO38" s="88"/>
      <c r="IP38" s="88"/>
      <c r="IQ38" s="88"/>
      <c r="IR38" s="88"/>
      <c r="IS38" s="88"/>
      <c r="IT38" s="88"/>
      <c r="IU38" s="88"/>
      <c r="IV38" s="88"/>
    </row>
    <row r="39" spans="1:19" ht="41.25">
      <c r="A39" s="89">
        <v>1</v>
      </c>
      <c r="B39" s="79" t="s">
        <v>312</v>
      </c>
      <c r="C39" s="91" t="s">
        <v>313</v>
      </c>
      <c r="D39" s="103" t="s">
        <v>314</v>
      </c>
      <c r="E39" s="91" t="s">
        <v>295</v>
      </c>
      <c r="F39" s="104">
        <f>G39+H39</f>
        <v>25760</v>
      </c>
      <c r="G39" s="92">
        <v>22400</v>
      </c>
      <c r="H39" s="92">
        <v>3360</v>
      </c>
      <c r="I39" s="81">
        <f t="shared" si="17"/>
        <v>8128</v>
      </c>
      <c r="J39" s="92">
        <v>7728</v>
      </c>
      <c r="K39" s="92">
        <v>400</v>
      </c>
      <c r="L39" s="81">
        <f t="shared" si="18"/>
        <v>17632</v>
      </c>
      <c r="M39" s="81">
        <f t="shared" si="6"/>
        <v>14672</v>
      </c>
      <c r="N39" s="81">
        <f t="shared" si="7"/>
        <v>2960</v>
      </c>
      <c r="O39" s="81">
        <f t="shared" si="19"/>
        <v>7000</v>
      </c>
      <c r="P39" s="92">
        <v>7000</v>
      </c>
      <c r="Q39" s="92"/>
      <c r="R39" s="91" t="s">
        <v>89</v>
      </c>
      <c r="S39" s="68"/>
    </row>
    <row r="40" spans="1:256" ht="14.25">
      <c r="A40" s="101"/>
      <c r="B40" s="102" t="s">
        <v>315</v>
      </c>
      <c r="C40" s="100"/>
      <c r="D40" s="100"/>
      <c r="E40" s="99"/>
      <c r="F40" s="86"/>
      <c r="G40" s="86"/>
      <c r="H40" s="86"/>
      <c r="I40" s="76">
        <f t="shared" si="17"/>
        <v>0</v>
      </c>
      <c r="J40" s="86"/>
      <c r="K40" s="86"/>
      <c r="L40" s="76">
        <f t="shared" si="18"/>
        <v>0</v>
      </c>
      <c r="M40" s="81">
        <f t="shared" si="6"/>
        <v>0</v>
      </c>
      <c r="N40" s="81">
        <f t="shared" si="7"/>
        <v>0</v>
      </c>
      <c r="O40" s="76">
        <f t="shared" si="19"/>
        <v>0</v>
      </c>
      <c r="P40" s="86"/>
      <c r="Q40" s="86"/>
      <c r="R40" s="84"/>
      <c r="S40" s="6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8"/>
      <c r="BR40" s="88"/>
      <c r="BS40" s="88"/>
      <c r="BT40" s="88"/>
      <c r="BU40" s="88"/>
      <c r="BV40" s="88"/>
      <c r="BW40" s="88"/>
      <c r="BX40" s="88"/>
      <c r="BY40" s="88"/>
      <c r="BZ40" s="88"/>
      <c r="CA40" s="88"/>
      <c r="CB40" s="88"/>
      <c r="CC40" s="88"/>
      <c r="CD40" s="88"/>
      <c r="CE40" s="88"/>
      <c r="CF40" s="88"/>
      <c r="CG40" s="88"/>
      <c r="CH40" s="88"/>
      <c r="CI40" s="88"/>
      <c r="CJ40" s="88"/>
      <c r="CK40" s="88"/>
      <c r="CL40" s="88"/>
      <c r="CM40" s="88"/>
      <c r="CN40" s="88"/>
      <c r="CO40" s="88"/>
      <c r="CP40" s="88"/>
      <c r="CQ40" s="88"/>
      <c r="CR40" s="88"/>
      <c r="CS40" s="88"/>
      <c r="CT40" s="88"/>
      <c r="CU40" s="88"/>
      <c r="CV40" s="88"/>
      <c r="CW40" s="88"/>
      <c r="CX40" s="88"/>
      <c r="CY40" s="88"/>
      <c r="CZ40" s="88"/>
      <c r="DA40" s="88"/>
      <c r="DB40" s="88"/>
      <c r="DC40" s="88"/>
      <c r="DD40" s="88"/>
      <c r="DE40" s="88"/>
      <c r="DF40" s="88"/>
      <c r="DG40" s="88"/>
      <c r="DH40" s="88"/>
      <c r="DI40" s="88"/>
      <c r="DJ40" s="88"/>
      <c r="DK40" s="88"/>
      <c r="DL40" s="88"/>
      <c r="DM40" s="88"/>
      <c r="DN40" s="88"/>
      <c r="DO40" s="88"/>
      <c r="DP40" s="88"/>
      <c r="DQ40" s="88"/>
      <c r="DR40" s="88"/>
      <c r="DS40" s="88"/>
      <c r="DT40" s="88"/>
      <c r="DU40" s="88"/>
      <c r="DV40" s="88"/>
      <c r="DW40" s="88"/>
      <c r="DX40" s="88"/>
      <c r="DY40" s="88"/>
      <c r="DZ40" s="88"/>
      <c r="EA40" s="88"/>
      <c r="EB40" s="88"/>
      <c r="EC40" s="88"/>
      <c r="ED40" s="88"/>
      <c r="EE40" s="88"/>
      <c r="EF40" s="88"/>
      <c r="EG40" s="88"/>
      <c r="EH40" s="88"/>
      <c r="EI40" s="88"/>
      <c r="EJ40" s="88"/>
      <c r="EK40" s="88"/>
      <c r="EL40" s="88"/>
      <c r="EM40" s="88"/>
      <c r="EN40" s="88"/>
      <c r="EO40" s="88"/>
      <c r="EP40" s="88"/>
      <c r="EQ40" s="88"/>
      <c r="ER40" s="88"/>
      <c r="ES40" s="88"/>
      <c r="ET40" s="88"/>
      <c r="EU40" s="88"/>
      <c r="EV40" s="88"/>
      <c r="EW40" s="88"/>
      <c r="EX40" s="88"/>
      <c r="EY40" s="88"/>
      <c r="EZ40" s="88"/>
      <c r="FA40" s="88"/>
      <c r="FB40" s="88"/>
      <c r="FC40" s="88"/>
      <c r="FD40" s="88"/>
      <c r="FE40" s="88"/>
      <c r="FF40" s="88"/>
      <c r="FG40" s="88"/>
      <c r="FH40" s="88"/>
      <c r="FI40" s="88"/>
      <c r="FJ40" s="88"/>
      <c r="FK40" s="88"/>
      <c r="FL40" s="88"/>
      <c r="FM40" s="88"/>
      <c r="FN40" s="88"/>
      <c r="FO40" s="88"/>
      <c r="FP40" s="88"/>
      <c r="FQ40" s="88"/>
      <c r="FR40" s="88"/>
      <c r="FS40" s="88"/>
      <c r="FT40" s="88"/>
      <c r="FU40" s="88"/>
      <c r="FV40" s="88"/>
      <c r="FW40" s="88"/>
      <c r="FX40" s="88"/>
      <c r="FY40" s="88"/>
      <c r="FZ40" s="88"/>
      <c r="GA40" s="88"/>
      <c r="GB40" s="88"/>
      <c r="GC40" s="88"/>
      <c r="GD40" s="88"/>
      <c r="GE40" s="88"/>
      <c r="GF40" s="88"/>
      <c r="GG40" s="88"/>
      <c r="GH40" s="88"/>
      <c r="GI40" s="88"/>
      <c r="GJ40" s="88"/>
      <c r="GK40" s="88"/>
      <c r="GL40" s="88"/>
      <c r="GM40" s="88"/>
      <c r="GN40" s="88"/>
      <c r="GO40" s="88"/>
      <c r="GP40" s="88"/>
      <c r="GQ40" s="88"/>
      <c r="GR40" s="88"/>
      <c r="GS40" s="88"/>
      <c r="GT40" s="88"/>
      <c r="GU40" s="88"/>
      <c r="GV40" s="88"/>
      <c r="GW40" s="88"/>
      <c r="GX40" s="88"/>
      <c r="GY40" s="88"/>
      <c r="GZ40" s="88"/>
      <c r="HA40" s="88"/>
      <c r="HB40" s="88"/>
      <c r="HC40" s="88"/>
      <c r="HD40" s="88"/>
      <c r="HE40" s="88"/>
      <c r="HF40" s="88"/>
      <c r="HG40" s="88"/>
      <c r="HH40" s="88"/>
      <c r="HI40" s="88"/>
      <c r="HJ40" s="88"/>
      <c r="HK40" s="88"/>
      <c r="HL40" s="88"/>
      <c r="HM40" s="88"/>
      <c r="HN40" s="88"/>
      <c r="HO40" s="88"/>
      <c r="HP40" s="88"/>
      <c r="HQ40" s="88"/>
      <c r="HR40" s="88"/>
      <c r="HS40" s="88"/>
      <c r="HT40" s="88"/>
      <c r="HU40" s="88"/>
      <c r="HV40" s="88"/>
      <c r="HW40" s="88"/>
      <c r="HX40" s="88"/>
      <c r="HY40" s="88"/>
      <c r="HZ40" s="88"/>
      <c r="IA40" s="88"/>
      <c r="IB40" s="88"/>
      <c r="IC40" s="88"/>
      <c r="ID40" s="88"/>
      <c r="IE40" s="88"/>
      <c r="IF40" s="88"/>
      <c r="IG40" s="88"/>
      <c r="IH40" s="88"/>
      <c r="II40" s="88"/>
      <c r="IJ40" s="88"/>
      <c r="IK40" s="88"/>
      <c r="IL40" s="88"/>
      <c r="IM40" s="88"/>
      <c r="IN40" s="88"/>
      <c r="IO40" s="88"/>
      <c r="IP40" s="88"/>
      <c r="IQ40" s="88"/>
      <c r="IR40" s="88"/>
      <c r="IS40" s="88"/>
      <c r="IT40" s="88"/>
      <c r="IU40" s="88"/>
      <c r="IV40" s="88"/>
    </row>
    <row r="41" spans="1:19" ht="27">
      <c r="A41" s="89">
        <v>1</v>
      </c>
      <c r="B41" s="105" t="s">
        <v>316</v>
      </c>
      <c r="C41" s="103" t="s">
        <v>317</v>
      </c>
      <c r="D41" s="103" t="s">
        <v>318</v>
      </c>
      <c r="E41" s="91" t="s">
        <v>295</v>
      </c>
      <c r="F41" s="104">
        <f>G41+H41</f>
        <v>8280</v>
      </c>
      <c r="G41" s="92">
        <v>7200</v>
      </c>
      <c r="H41" s="92">
        <v>1080</v>
      </c>
      <c r="I41" s="81">
        <f t="shared" si="17"/>
        <v>2484</v>
      </c>
      <c r="J41" s="92">
        <v>2099</v>
      </c>
      <c r="K41" s="92">
        <v>385</v>
      </c>
      <c r="L41" s="81">
        <f t="shared" si="18"/>
        <v>5796</v>
      </c>
      <c r="M41" s="81">
        <f t="shared" si="6"/>
        <v>5101</v>
      </c>
      <c r="N41" s="81">
        <f t="shared" si="7"/>
        <v>695</v>
      </c>
      <c r="O41" s="81">
        <f t="shared" si="19"/>
        <v>1500</v>
      </c>
      <c r="P41" s="92">
        <v>1500</v>
      </c>
      <c r="Q41" s="92"/>
      <c r="R41" s="91" t="s">
        <v>296</v>
      </c>
      <c r="S41" s="68"/>
    </row>
    <row r="42" spans="1:256" ht="14.25">
      <c r="A42" s="101"/>
      <c r="B42" s="102" t="s">
        <v>319</v>
      </c>
      <c r="C42" s="100"/>
      <c r="D42" s="100"/>
      <c r="E42" s="99"/>
      <c r="F42" s="86">
        <f>G42+H42</f>
        <v>0</v>
      </c>
      <c r="G42" s="86"/>
      <c r="H42" s="86"/>
      <c r="I42" s="76">
        <f t="shared" si="17"/>
        <v>0</v>
      </c>
      <c r="J42" s="86"/>
      <c r="K42" s="86"/>
      <c r="L42" s="76">
        <f t="shared" si="18"/>
        <v>0</v>
      </c>
      <c r="M42" s="81">
        <f t="shared" si="6"/>
        <v>0</v>
      </c>
      <c r="N42" s="81">
        <f t="shared" si="7"/>
        <v>0</v>
      </c>
      <c r="O42" s="76">
        <f t="shared" si="19"/>
        <v>0</v>
      </c>
      <c r="P42" s="86"/>
      <c r="Q42" s="86"/>
      <c r="R42" s="84"/>
      <c r="S42" s="6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c r="ID42" s="88"/>
      <c r="IE42" s="88"/>
      <c r="IF42" s="88"/>
      <c r="IG42" s="88"/>
      <c r="IH42" s="88"/>
      <c r="II42" s="88"/>
      <c r="IJ42" s="88"/>
      <c r="IK42" s="88"/>
      <c r="IL42" s="88"/>
      <c r="IM42" s="88"/>
      <c r="IN42" s="88"/>
      <c r="IO42" s="88"/>
      <c r="IP42" s="88"/>
      <c r="IQ42" s="88"/>
      <c r="IR42" s="88"/>
      <c r="IS42" s="88"/>
      <c r="IT42" s="88"/>
      <c r="IU42" s="88"/>
      <c r="IV42" s="88"/>
    </row>
    <row r="43" spans="1:19" ht="27">
      <c r="A43" s="89">
        <v>1</v>
      </c>
      <c r="B43" s="79" t="s">
        <v>320</v>
      </c>
      <c r="C43" s="91" t="s">
        <v>321</v>
      </c>
      <c r="D43" s="91" t="s">
        <v>322</v>
      </c>
      <c r="E43" s="91" t="s">
        <v>295</v>
      </c>
      <c r="F43" s="104">
        <f>G43+H43</f>
        <v>5193</v>
      </c>
      <c r="G43" s="92">
        <v>4960</v>
      </c>
      <c r="H43" s="92">
        <v>233</v>
      </c>
      <c r="I43" s="81">
        <f t="shared" si="17"/>
        <v>1721</v>
      </c>
      <c r="J43" s="92">
        <v>1488</v>
      </c>
      <c r="K43" s="92">
        <v>233</v>
      </c>
      <c r="L43" s="81">
        <f t="shared" si="18"/>
        <v>3472</v>
      </c>
      <c r="M43" s="81">
        <f t="shared" si="6"/>
        <v>3472</v>
      </c>
      <c r="N43" s="81">
        <f t="shared" si="7"/>
        <v>0</v>
      </c>
      <c r="O43" s="81">
        <f t="shared" si="19"/>
        <v>1000</v>
      </c>
      <c r="P43" s="92">
        <v>1000</v>
      </c>
      <c r="Q43" s="92"/>
      <c r="R43" s="91" t="s">
        <v>296</v>
      </c>
      <c r="S43" s="68"/>
    </row>
    <row r="44" spans="1:256" ht="14.25">
      <c r="A44" s="101"/>
      <c r="B44" s="102" t="s">
        <v>323</v>
      </c>
      <c r="C44" s="100"/>
      <c r="D44" s="100"/>
      <c r="E44" s="99"/>
      <c r="F44" s="86">
        <f>G44+H44</f>
        <v>0</v>
      </c>
      <c r="G44" s="86"/>
      <c r="H44" s="86"/>
      <c r="I44" s="76"/>
      <c r="J44" s="86"/>
      <c r="K44" s="86"/>
      <c r="L44" s="76"/>
      <c r="M44" s="81">
        <f t="shared" si="6"/>
        <v>0</v>
      </c>
      <c r="N44" s="81">
        <f t="shared" si="7"/>
        <v>0</v>
      </c>
      <c r="O44" s="76"/>
      <c r="P44" s="86"/>
      <c r="Q44" s="86"/>
      <c r="R44" s="84"/>
      <c r="S44" s="6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c r="ID44" s="88"/>
      <c r="IE44" s="88"/>
      <c r="IF44" s="88"/>
      <c r="IG44" s="88"/>
      <c r="IH44" s="88"/>
      <c r="II44" s="88"/>
      <c r="IJ44" s="88"/>
      <c r="IK44" s="88"/>
      <c r="IL44" s="88"/>
      <c r="IM44" s="88"/>
      <c r="IN44" s="88"/>
      <c r="IO44" s="88"/>
      <c r="IP44" s="88"/>
      <c r="IQ44" s="88"/>
      <c r="IR44" s="88"/>
      <c r="IS44" s="88"/>
      <c r="IT44" s="88"/>
      <c r="IU44" s="88"/>
      <c r="IV44" s="88"/>
    </row>
    <row r="45" spans="1:19" ht="27">
      <c r="A45" s="89">
        <v>1</v>
      </c>
      <c r="B45" s="106" t="s">
        <v>324</v>
      </c>
      <c r="C45" s="78" t="s">
        <v>325</v>
      </c>
      <c r="D45" s="91" t="s">
        <v>326</v>
      </c>
      <c r="E45" s="91" t="s">
        <v>295</v>
      </c>
      <c r="F45" s="104">
        <f>G45+H45</f>
        <v>8280</v>
      </c>
      <c r="G45" s="92">
        <v>7200</v>
      </c>
      <c r="H45" s="92">
        <v>1080</v>
      </c>
      <c r="I45" s="81">
        <f>J45+K45</f>
        <v>2484</v>
      </c>
      <c r="J45" s="92">
        <v>2107</v>
      </c>
      <c r="K45" s="92">
        <v>377</v>
      </c>
      <c r="L45" s="81">
        <f>M45+N45</f>
        <v>5796</v>
      </c>
      <c r="M45" s="81">
        <f t="shared" si="6"/>
        <v>5093</v>
      </c>
      <c r="N45" s="81">
        <f t="shared" si="7"/>
        <v>703</v>
      </c>
      <c r="O45" s="81">
        <f>P45+Q45</f>
        <v>1500</v>
      </c>
      <c r="P45" s="92">
        <v>1500</v>
      </c>
      <c r="Q45" s="92"/>
      <c r="R45" s="91" t="s">
        <v>296</v>
      </c>
      <c r="S45" s="68"/>
    </row>
    <row r="46" spans="1:256" ht="41.25">
      <c r="A46" s="107" t="s">
        <v>69</v>
      </c>
      <c r="B46" s="71" t="s">
        <v>327</v>
      </c>
      <c r="C46" s="108"/>
      <c r="D46" s="108"/>
      <c r="E46" s="108"/>
      <c r="F46" s="109">
        <f aca="true" t="shared" si="20" ref="F46:L46">F47+F48</f>
        <v>158200</v>
      </c>
      <c r="G46" s="109">
        <f t="shared" si="20"/>
        <v>150667</v>
      </c>
      <c r="H46" s="109">
        <f t="shared" si="20"/>
        <v>7533</v>
      </c>
      <c r="I46" s="109">
        <f t="shared" si="20"/>
        <v>30500</v>
      </c>
      <c r="J46" s="109">
        <f t="shared" si="20"/>
        <v>29144</v>
      </c>
      <c r="K46" s="109">
        <f t="shared" si="20"/>
        <v>1356</v>
      </c>
      <c r="L46" s="109">
        <f t="shared" si="20"/>
        <v>127700</v>
      </c>
      <c r="M46" s="81">
        <f t="shared" si="6"/>
        <v>121523</v>
      </c>
      <c r="N46" s="81">
        <f t="shared" si="7"/>
        <v>6177</v>
      </c>
      <c r="O46" s="109">
        <f>O47+O48</f>
        <v>38638</v>
      </c>
      <c r="P46" s="109">
        <f>P47+P48</f>
        <v>38638</v>
      </c>
      <c r="Q46" s="109">
        <f>Q47+Q48</f>
        <v>0</v>
      </c>
      <c r="R46" s="110"/>
      <c r="S46" s="68"/>
      <c r="T46" s="77"/>
      <c r="U46" s="77"/>
      <c r="V46" s="77"/>
      <c r="W46" s="77"/>
      <c r="X46" s="77"/>
      <c r="Y46" s="77"/>
      <c r="Z46" s="77"/>
      <c r="AA46" s="77"/>
      <c r="AB46" s="77"/>
      <c r="AC46" s="77"/>
      <c r="AD46" s="77"/>
      <c r="AE46" s="77"/>
      <c r="AF46" s="77"/>
      <c r="AG46" s="77"/>
      <c r="AH46" s="77"/>
      <c r="AI46" s="77"/>
      <c r="AJ46" s="77"/>
      <c r="AK46" s="77"/>
      <c r="AL46" s="77"/>
      <c r="AM46" s="77"/>
      <c r="AN46" s="77"/>
      <c r="AO46" s="77"/>
      <c r="AP46" s="77"/>
      <c r="AQ46" s="77"/>
      <c r="AR46" s="77"/>
      <c r="AS46" s="77"/>
      <c r="AT46" s="77"/>
      <c r="AU46" s="77"/>
      <c r="AV46" s="77"/>
      <c r="AW46" s="77"/>
      <c r="AX46" s="77"/>
      <c r="AY46" s="77"/>
      <c r="AZ46" s="77"/>
      <c r="BA46" s="77"/>
      <c r="BB46" s="77"/>
      <c r="BC46" s="77"/>
      <c r="BD46" s="77"/>
      <c r="BE46" s="77"/>
      <c r="BF46" s="77"/>
      <c r="BG46" s="77"/>
      <c r="BH46" s="77"/>
      <c r="BI46" s="77"/>
      <c r="BJ46" s="77"/>
      <c r="BK46" s="77"/>
      <c r="BL46" s="77"/>
      <c r="BM46" s="77"/>
      <c r="BN46" s="77"/>
      <c r="BO46" s="77"/>
      <c r="BP46" s="77"/>
      <c r="BQ46" s="77"/>
      <c r="BR46" s="77"/>
      <c r="BS46" s="77"/>
      <c r="BT46" s="77"/>
      <c r="BU46" s="77"/>
      <c r="BV46" s="77"/>
      <c r="BW46" s="77"/>
      <c r="BX46" s="77"/>
      <c r="BY46" s="77"/>
      <c r="BZ46" s="77"/>
      <c r="CA46" s="77"/>
      <c r="CB46" s="77"/>
      <c r="CC46" s="77"/>
      <c r="CD46" s="77"/>
      <c r="CE46" s="77"/>
      <c r="CF46" s="77"/>
      <c r="CG46" s="77"/>
      <c r="CH46" s="77"/>
      <c r="CI46" s="77"/>
      <c r="CJ46" s="77"/>
      <c r="CK46" s="77"/>
      <c r="CL46" s="77"/>
      <c r="CM46" s="77"/>
      <c r="CN46" s="77"/>
      <c r="CO46" s="77"/>
      <c r="CP46" s="77"/>
      <c r="CQ46" s="77"/>
      <c r="CR46" s="77"/>
      <c r="CS46" s="77"/>
      <c r="CT46" s="77"/>
      <c r="CU46" s="77"/>
      <c r="CV46" s="77"/>
      <c r="CW46" s="77"/>
      <c r="CX46" s="77"/>
      <c r="CY46" s="77"/>
      <c r="CZ46" s="77"/>
      <c r="DA46" s="77"/>
      <c r="DB46" s="77"/>
      <c r="DC46" s="77"/>
      <c r="DD46" s="77"/>
      <c r="DE46" s="77"/>
      <c r="DF46" s="77"/>
      <c r="DG46" s="77"/>
      <c r="DH46" s="77"/>
      <c r="DI46" s="77"/>
      <c r="DJ46" s="77"/>
      <c r="DK46" s="77"/>
      <c r="DL46" s="77"/>
      <c r="DM46" s="77"/>
      <c r="DN46" s="77"/>
      <c r="DO46" s="77"/>
      <c r="DP46" s="77"/>
      <c r="DQ46" s="77"/>
      <c r="DR46" s="77"/>
      <c r="DS46" s="77"/>
      <c r="DT46" s="77"/>
      <c r="DU46" s="77"/>
      <c r="DV46" s="77"/>
      <c r="DW46" s="77"/>
      <c r="DX46" s="77"/>
      <c r="DY46" s="77"/>
      <c r="DZ46" s="77"/>
      <c r="EA46" s="77"/>
      <c r="EB46" s="77"/>
      <c r="EC46" s="77"/>
      <c r="ED46" s="77"/>
      <c r="EE46" s="77"/>
      <c r="EF46" s="77"/>
      <c r="EG46" s="77"/>
      <c r="EH46" s="77"/>
      <c r="EI46" s="77"/>
      <c r="EJ46" s="77"/>
      <c r="EK46" s="77"/>
      <c r="EL46" s="77"/>
      <c r="EM46" s="77"/>
      <c r="EN46" s="77"/>
      <c r="EO46" s="77"/>
      <c r="EP46" s="77"/>
      <c r="EQ46" s="77"/>
      <c r="ER46" s="77"/>
      <c r="ES46" s="77"/>
      <c r="ET46" s="77"/>
      <c r="EU46" s="77"/>
      <c r="EV46" s="77"/>
      <c r="EW46" s="77"/>
      <c r="EX46" s="77"/>
      <c r="EY46" s="77"/>
      <c r="EZ46" s="77"/>
      <c r="FA46" s="77"/>
      <c r="FB46" s="77"/>
      <c r="FC46" s="77"/>
      <c r="FD46" s="77"/>
      <c r="FE46" s="77"/>
      <c r="FF46" s="77"/>
      <c r="FG46" s="77"/>
      <c r="FH46" s="77"/>
      <c r="FI46" s="77"/>
      <c r="FJ46" s="77"/>
      <c r="FK46" s="77"/>
      <c r="FL46" s="77"/>
      <c r="FM46" s="77"/>
      <c r="FN46" s="77"/>
      <c r="FO46" s="77"/>
      <c r="FP46" s="77"/>
      <c r="FQ46" s="77"/>
      <c r="FR46" s="77"/>
      <c r="FS46" s="77"/>
      <c r="FT46" s="77"/>
      <c r="FU46" s="77"/>
      <c r="FV46" s="77"/>
      <c r="FW46" s="77"/>
      <c r="FX46" s="77"/>
      <c r="FY46" s="77"/>
      <c r="FZ46" s="77"/>
      <c r="GA46" s="77"/>
      <c r="GB46" s="77"/>
      <c r="GC46" s="77"/>
      <c r="GD46" s="77"/>
      <c r="GE46" s="77"/>
      <c r="GF46" s="77"/>
      <c r="GG46" s="77"/>
      <c r="GH46" s="77"/>
      <c r="GI46" s="77"/>
      <c r="GJ46" s="77"/>
      <c r="GK46" s="77"/>
      <c r="GL46" s="77"/>
      <c r="GM46" s="77"/>
      <c r="GN46" s="77"/>
      <c r="GO46" s="77"/>
      <c r="GP46" s="77"/>
      <c r="GQ46" s="77"/>
      <c r="GR46" s="77"/>
      <c r="GS46" s="77"/>
      <c r="GT46" s="77"/>
      <c r="GU46" s="77"/>
      <c r="GV46" s="77"/>
      <c r="GW46" s="77"/>
      <c r="GX46" s="77"/>
      <c r="GY46" s="77"/>
      <c r="GZ46" s="77"/>
      <c r="HA46" s="77"/>
      <c r="HB46" s="77"/>
      <c r="HC46" s="77"/>
      <c r="HD46" s="77"/>
      <c r="HE46" s="77"/>
      <c r="HF46" s="77"/>
      <c r="HG46" s="77"/>
      <c r="HH46" s="77"/>
      <c r="HI46" s="77"/>
      <c r="HJ46" s="77"/>
      <c r="HK46" s="77"/>
      <c r="HL46" s="77"/>
      <c r="HM46" s="77"/>
      <c r="HN46" s="77"/>
      <c r="HO46" s="77"/>
      <c r="HP46" s="77"/>
      <c r="HQ46" s="77"/>
      <c r="HR46" s="77"/>
      <c r="HS46" s="77"/>
      <c r="HT46" s="77"/>
      <c r="HU46" s="77"/>
      <c r="HV46" s="77"/>
      <c r="HW46" s="77"/>
      <c r="HX46" s="77"/>
      <c r="HY46" s="77"/>
      <c r="HZ46" s="77"/>
      <c r="IA46" s="77"/>
      <c r="IB46" s="77"/>
      <c r="IC46" s="77"/>
      <c r="ID46" s="77"/>
      <c r="IE46" s="77"/>
      <c r="IF46" s="77"/>
      <c r="IG46" s="77"/>
      <c r="IH46" s="77"/>
      <c r="II46" s="77"/>
      <c r="IJ46" s="77"/>
      <c r="IK46" s="77"/>
      <c r="IL46" s="77"/>
      <c r="IM46" s="77"/>
      <c r="IN46" s="77"/>
      <c r="IO46" s="77"/>
      <c r="IP46" s="77"/>
      <c r="IQ46" s="77"/>
      <c r="IR46" s="77"/>
      <c r="IS46" s="77"/>
      <c r="IT46" s="77"/>
      <c r="IU46" s="77"/>
      <c r="IV46" s="77"/>
    </row>
    <row r="47" spans="1:20" ht="82.5">
      <c r="A47" s="89">
        <v>1</v>
      </c>
      <c r="B47" s="79" t="s">
        <v>328</v>
      </c>
      <c r="C47" s="111"/>
      <c r="D47" s="111"/>
      <c r="E47" s="91" t="s">
        <v>295</v>
      </c>
      <c r="F47" s="92">
        <f aca="true" t="shared" si="21" ref="F47:F53">G47+H47</f>
        <v>60629</v>
      </c>
      <c r="G47" s="92">
        <v>57742</v>
      </c>
      <c r="H47" s="112">
        <v>2887</v>
      </c>
      <c r="I47" s="92">
        <f>J47+K47</f>
        <v>30000</v>
      </c>
      <c r="J47" s="92">
        <v>28644</v>
      </c>
      <c r="K47" s="92">
        <v>1356</v>
      </c>
      <c r="L47" s="92">
        <f>M47+N47</f>
        <v>30629</v>
      </c>
      <c r="M47" s="81">
        <f t="shared" si="6"/>
        <v>29098</v>
      </c>
      <c r="N47" s="81">
        <f t="shared" si="7"/>
        <v>1531</v>
      </c>
      <c r="O47" s="92">
        <f>P47+Q47</f>
        <v>17000</v>
      </c>
      <c r="P47" s="92">
        <v>17000</v>
      </c>
      <c r="Q47" s="92"/>
      <c r="R47" s="91" t="s">
        <v>65</v>
      </c>
      <c r="S47" s="68"/>
      <c r="T47" s="146"/>
    </row>
    <row r="48" spans="1:19" ht="96">
      <c r="A48" s="89">
        <v>2</v>
      </c>
      <c r="B48" s="79" t="s">
        <v>329</v>
      </c>
      <c r="C48" s="111"/>
      <c r="D48" s="111"/>
      <c r="E48" s="91" t="s">
        <v>260</v>
      </c>
      <c r="F48" s="92">
        <f t="shared" si="21"/>
        <v>97571</v>
      </c>
      <c r="G48" s="92">
        <v>92925</v>
      </c>
      <c r="H48" s="112">
        <v>4646</v>
      </c>
      <c r="I48" s="92">
        <f>J48+K48</f>
        <v>500</v>
      </c>
      <c r="J48" s="92">
        <v>500</v>
      </c>
      <c r="K48" s="92"/>
      <c r="L48" s="92">
        <f>M48+N48</f>
        <v>97071</v>
      </c>
      <c r="M48" s="81">
        <f t="shared" si="6"/>
        <v>92425</v>
      </c>
      <c r="N48" s="81">
        <f t="shared" si="7"/>
        <v>4646</v>
      </c>
      <c r="O48" s="92">
        <f>P48+Q48</f>
        <v>21638</v>
      </c>
      <c r="P48" s="92">
        <f>20000+1638</f>
        <v>21638</v>
      </c>
      <c r="Q48" s="92"/>
      <c r="R48" s="91" t="s">
        <v>65</v>
      </c>
      <c r="S48" s="68">
        <f>90*0.3</f>
        <v>27</v>
      </c>
    </row>
    <row r="49" spans="1:256" ht="54.75">
      <c r="A49" s="107" t="s">
        <v>71</v>
      </c>
      <c r="B49" s="71" t="s">
        <v>330</v>
      </c>
      <c r="C49" s="71"/>
      <c r="D49" s="71"/>
      <c r="E49" s="113"/>
      <c r="F49" s="109">
        <f t="shared" si="21"/>
        <v>45908</v>
      </c>
      <c r="G49" s="109">
        <f aca="true" t="shared" si="22" ref="G49:L49">G50+G51+G52+G53</f>
        <v>43722</v>
      </c>
      <c r="H49" s="109">
        <f t="shared" si="22"/>
        <v>2186</v>
      </c>
      <c r="I49" s="109">
        <f t="shared" si="22"/>
        <v>8285</v>
      </c>
      <c r="J49" s="109">
        <f t="shared" si="22"/>
        <v>7890</v>
      </c>
      <c r="K49" s="109">
        <f t="shared" si="22"/>
        <v>395</v>
      </c>
      <c r="L49" s="109">
        <f t="shared" si="22"/>
        <v>37623</v>
      </c>
      <c r="M49" s="81">
        <f t="shared" si="6"/>
        <v>35832</v>
      </c>
      <c r="N49" s="81">
        <f t="shared" si="7"/>
        <v>1791</v>
      </c>
      <c r="O49" s="109">
        <f>O50+O51+O52+O53</f>
        <v>10000</v>
      </c>
      <c r="P49" s="109">
        <f>P50+P51+P52+P53</f>
        <v>10000</v>
      </c>
      <c r="Q49" s="109">
        <f>Q50+Q51+Q52+Q53</f>
        <v>0</v>
      </c>
      <c r="R49" s="110"/>
      <c r="S49" s="68"/>
      <c r="T49" s="77"/>
      <c r="U49" s="77"/>
      <c r="V49" s="77"/>
      <c r="W49" s="77"/>
      <c r="X49" s="77"/>
      <c r="Y49" s="77"/>
      <c r="Z49" s="77"/>
      <c r="AA49" s="77"/>
      <c r="AB49" s="77"/>
      <c r="AC49" s="77"/>
      <c r="AD49" s="77"/>
      <c r="AE49" s="77"/>
      <c r="AF49" s="77"/>
      <c r="AG49" s="77"/>
      <c r="AH49" s="77"/>
      <c r="AI49" s="77"/>
      <c r="AJ49" s="77"/>
      <c r="AK49" s="77"/>
      <c r="AL49" s="77"/>
      <c r="AM49" s="77"/>
      <c r="AN49" s="77"/>
      <c r="AO49" s="77"/>
      <c r="AP49" s="77"/>
      <c r="AQ49" s="77"/>
      <c r="AR49" s="77"/>
      <c r="AS49" s="77"/>
      <c r="AT49" s="77"/>
      <c r="AU49" s="77"/>
      <c r="AV49" s="77"/>
      <c r="AW49" s="77"/>
      <c r="AX49" s="77"/>
      <c r="AY49" s="77"/>
      <c r="AZ49" s="77"/>
      <c r="BA49" s="77"/>
      <c r="BB49" s="77"/>
      <c r="BC49" s="77"/>
      <c r="BD49" s="77"/>
      <c r="BE49" s="77"/>
      <c r="BF49" s="77"/>
      <c r="BG49" s="77"/>
      <c r="BH49" s="77"/>
      <c r="BI49" s="77"/>
      <c r="BJ49" s="77"/>
      <c r="BK49" s="77"/>
      <c r="BL49" s="77"/>
      <c r="BM49" s="77"/>
      <c r="BN49" s="77"/>
      <c r="BO49" s="77"/>
      <c r="BP49" s="77"/>
      <c r="BQ49" s="77"/>
      <c r="BR49" s="77"/>
      <c r="BS49" s="77"/>
      <c r="BT49" s="77"/>
      <c r="BU49" s="77"/>
      <c r="BV49" s="77"/>
      <c r="BW49" s="77"/>
      <c r="BX49" s="77"/>
      <c r="BY49" s="77"/>
      <c r="BZ49" s="77"/>
      <c r="CA49" s="77"/>
      <c r="CB49" s="77"/>
      <c r="CC49" s="77"/>
      <c r="CD49" s="77"/>
      <c r="CE49" s="77"/>
      <c r="CF49" s="77"/>
      <c r="CG49" s="77"/>
      <c r="CH49" s="77"/>
      <c r="CI49" s="77"/>
      <c r="CJ49" s="77"/>
      <c r="CK49" s="77"/>
      <c r="CL49" s="77"/>
      <c r="CM49" s="77"/>
      <c r="CN49" s="77"/>
      <c r="CO49" s="77"/>
      <c r="CP49" s="77"/>
      <c r="CQ49" s="77"/>
      <c r="CR49" s="77"/>
      <c r="CS49" s="77"/>
      <c r="CT49" s="77"/>
      <c r="CU49" s="77"/>
      <c r="CV49" s="77"/>
      <c r="CW49" s="77"/>
      <c r="CX49" s="77"/>
      <c r="CY49" s="77"/>
      <c r="CZ49" s="77"/>
      <c r="DA49" s="77"/>
      <c r="DB49" s="77"/>
      <c r="DC49" s="77"/>
      <c r="DD49" s="77"/>
      <c r="DE49" s="77"/>
      <c r="DF49" s="77"/>
      <c r="DG49" s="77"/>
      <c r="DH49" s="77"/>
      <c r="DI49" s="77"/>
      <c r="DJ49" s="77"/>
      <c r="DK49" s="77"/>
      <c r="DL49" s="77"/>
      <c r="DM49" s="77"/>
      <c r="DN49" s="77"/>
      <c r="DO49" s="77"/>
      <c r="DP49" s="77"/>
      <c r="DQ49" s="77"/>
      <c r="DR49" s="77"/>
      <c r="DS49" s="77"/>
      <c r="DT49" s="77"/>
      <c r="DU49" s="77"/>
      <c r="DV49" s="77"/>
      <c r="DW49" s="77"/>
      <c r="DX49" s="77"/>
      <c r="DY49" s="77"/>
      <c r="DZ49" s="77"/>
      <c r="EA49" s="77"/>
      <c r="EB49" s="77"/>
      <c r="EC49" s="77"/>
      <c r="ED49" s="77"/>
      <c r="EE49" s="77"/>
      <c r="EF49" s="77"/>
      <c r="EG49" s="77"/>
      <c r="EH49" s="77"/>
      <c r="EI49" s="77"/>
      <c r="EJ49" s="77"/>
      <c r="EK49" s="77"/>
      <c r="EL49" s="77"/>
      <c r="EM49" s="77"/>
      <c r="EN49" s="77"/>
      <c r="EO49" s="77"/>
      <c r="EP49" s="77"/>
      <c r="EQ49" s="77"/>
      <c r="ER49" s="77"/>
      <c r="ES49" s="77"/>
      <c r="ET49" s="77"/>
      <c r="EU49" s="77"/>
      <c r="EV49" s="77"/>
      <c r="EW49" s="77"/>
      <c r="EX49" s="77"/>
      <c r="EY49" s="77"/>
      <c r="EZ49" s="77"/>
      <c r="FA49" s="77"/>
      <c r="FB49" s="77"/>
      <c r="FC49" s="77"/>
      <c r="FD49" s="77"/>
      <c r="FE49" s="77"/>
      <c r="FF49" s="77"/>
      <c r="FG49" s="77"/>
      <c r="FH49" s="77"/>
      <c r="FI49" s="77"/>
      <c r="FJ49" s="77"/>
      <c r="FK49" s="77"/>
      <c r="FL49" s="77"/>
      <c r="FM49" s="77"/>
      <c r="FN49" s="77"/>
      <c r="FO49" s="77"/>
      <c r="FP49" s="77"/>
      <c r="FQ49" s="77"/>
      <c r="FR49" s="77"/>
      <c r="FS49" s="77"/>
      <c r="FT49" s="77"/>
      <c r="FU49" s="77"/>
      <c r="FV49" s="77"/>
      <c r="FW49" s="77"/>
      <c r="FX49" s="77"/>
      <c r="FY49" s="77"/>
      <c r="FZ49" s="77"/>
      <c r="GA49" s="77"/>
      <c r="GB49" s="77"/>
      <c r="GC49" s="77"/>
      <c r="GD49" s="77"/>
      <c r="GE49" s="77"/>
      <c r="GF49" s="77"/>
      <c r="GG49" s="77"/>
      <c r="GH49" s="77"/>
      <c r="GI49" s="77"/>
      <c r="GJ49" s="77"/>
      <c r="GK49" s="77"/>
      <c r="GL49" s="77"/>
      <c r="GM49" s="77"/>
      <c r="GN49" s="77"/>
      <c r="GO49" s="77"/>
      <c r="GP49" s="77"/>
      <c r="GQ49" s="77"/>
      <c r="GR49" s="77"/>
      <c r="GS49" s="77"/>
      <c r="GT49" s="77"/>
      <c r="GU49" s="77"/>
      <c r="GV49" s="77"/>
      <c r="GW49" s="77"/>
      <c r="GX49" s="77"/>
      <c r="GY49" s="77"/>
      <c r="GZ49" s="77"/>
      <c r="HA49" s="77"/>
      <c r="HB49" s="77"/>
      <c r="HC49" s="77"/>
      <c r="HD49" s="77"/>
      <c r="HE49" s="77"/>
      <c r="HF49" s="77"/>
      <c r="HG49" s="77"/>
      <c r="HH49" s="77"/>
      <c r="HI49" s="77"/>
      <c r="HJ49" s="77"/>
      <c r="HK49" s="77"/>
      <c r="HL49" s="77"/>
      <c r="HM49" s="77"/>
      <c r="HN49" s="77"/>
      <c r="HO49" s="77"/>
      <c r="HP49" s="77"/>
      <c r="HQ49" s="77"/>
      <c r="HR49" s="77"/>
      <c r="HS49" s="77"/>
      <c r="HT49" s="77"/>
      <c r="HU49" s="77"/>
      <c r="HV49" s="77"/>
      <c r="HW49" s="77"/>
      <c r="HX49" s="77"/>
      <c r="HY49" s="77"/>
      <c r="HZ49" s="77"/>
      <c r="IA49" s="77"/>
      <c r="IB49" s="77"/>
      <c r="IC49" s="77"/>
      <c r="ID49" s="77"/>
      <c r="IE49" s="77"/>
      <c r="IF49" s="77"/>
      <c r="IG49" s="77"/>
      <c r="IH49" s="77"/>
      <c r="II49" s="77"/>
      <c r="IJ49" s="77"/>
      <c r="IK49" s="77"/>
      <c r="IL49" s="77"/>
      <c r="IM49" s="77"/>
      <c r="IN49" s="77"/>
      <c r="IO49" s="77"/>
      <c r="IP49" s="77"/>
      <c r="IQ49" s="77"/>
      <c r="IR49" s="77"/>
      <c r="IS49" s="77"/>
      <c r="IT49" s="77"/>
      <c r="IU49" s="77"/>
      <c r="IV49" s="77"/>
    </row>
    <row r="50" spans="1:19" ht="27">
      <c r="A50" s="89">
        <v>1</v>
      </c>
      <c r="B50" s="114" t="s">
        <v>331</v>
      </c>
      <c r="C50" s="83"/>
      <c r="D50" s="83"/>
      <c r="E50" s="91" t="s">
        <v>295</v>
      </c>
      <c r="F50" s="92">
        <f t="shared" si="21"/>
        <v>8386</v>
      </c>
      <c r="G50" s="92">
        <v>7987</v>
      </c>
      <c r="H50" s="92">
        <v>399</v>
      </c>
      <c r="I50" s="92">
        <f>J50+K50</f>
        <v>1439</v>
      </c>
      <c r="J50" s="92">
        <v>1370</v>
      </c>
      <c r="K50" s="92">
        <v>69</v>
      </c>
      <c r="L50" s="92">
        <f>M50+N50</f>
        <v>6947</v>
      </c>
      <c r="M50" s="81">
        <f t="shared" si="6"/>
        <v>6617</v>
      </c>
      <c r="N50" s="81">
        <f t="shared" si="7"/>
        <v>330</v>
      </c>
      <c r="O50" s="92">
        <f>P50+Q50</f>
        <v>4000</v>
      </c>
      <c r="P50" s="92">
        <v>4000</v>
      </c>
      <c r="Q50" s="92"/>
      <c r="R50" s="115" t="s">
        <v>127</v>
      </c>
      <c r="S50" s="68"/>
    </row>
    <row r="51" spans="1:19" ht="27">
      <c r="A51" s="89">
        <v>2</v>
      </c>
      <c r="B51" s="114" t="s">
        <v>332</v>
      </c>
      <c r="C51" s="116"/>
      <c r="D51" s="116"/>
      <c r="E51" s="91" t="s">
        <v>260</v>
      </c>
      <c r="F51" s="92">
        <f t="shared" si="21"/>
        <v>20407</v>
      </c>
      <c r="G51" s="104">
        <v>19435</v>
      </c>
      <c r="H51" s="104">
        <v>972</v>
      </c>
      <c r="I51" s="92">
        <f>J51+K51</f>
        <v>0</v>
      </c>
      <c r="J51" s="93"/>
      <c r="K51" s="93"/>
      <c r="L51" s="92">
        <f>M51+N51</f>
        <v>20407</v>
      </c>
      <c r="M51" s="81">
        <f t="shared" si="6"/>
        <v>19435</v>
      </c>
      <c r="N51" s="81">
        <f t="shared" si="7"/>
        <v>972</v>
      </c>
      <c r="O51" s="92">
        <f>P51+Q51</f>
        <v>4000</v>
      </c>
      <c r="P51" s="92">
        <v>4000</v>
      </c>
      <c r="Q51" s="93"/>
      <c r="R51" s="115" t="s">
        <v>127</v>
      </c>
      <c r="S51" s="68"/>
    </row>
    <row r="52" spans="1:19" ht="41.25">
      <c r="A52" s="89">
        <v>3</v>
      </c>
      <c r="B52" s="114" t="s">
        <v>333</v>
      </c>
      <c r="C52" s="116"/>
      <c r="D52" s="116"/>
      <c r="E52" s="91" t="s">
        <v>260</v>
      </c>
      <c r="F52" s="92">
        <f t="shared" si="21"/>
        <v>10269</v>
      </c>
      <c r="G52" s="104">
        <v>9780</v>
      </c>
      <c r="H52" s="104">
        <v>489</v>
      </c>
      <c r="I52" s="92">
        <f>J52+K52</f>
        <v>0</v>
      </c>
      <c r="J52" s="93"/>
      <c r="K52" s="93"/>
      <c r="L52" s="92">
        <f>M52+N52</f>
        <v>10269</v>
      </c>
      <c r="M52" s="81">
        <f t="shared" si="6"/>
        <v>9780</v>
      </c>
      <c r="N52" s="81">
        <f t="shared" si="7"/>
        <v>489</v>
      </c>
      <c r="O52" s="92">
        <f>P52+Q52</f>
        <v>2000</v>
      </c>
      <c r="P52" s="92">
        <v>2000</v>
      </c>
      <c r="Q52" s="93"/>
      <c r="R52" s="115" t="s">
        <v>127</v>
      </c>
      <c r="S52" s="68"/>
    </row>
    <row r="53" spans="1:19" ht="41.25">
      <c r="A53" s="89">
        <v>4</v>
      </c>
      <c r="B53" s="114" t="s">
        <v>334</v>
      </c>
      <c r="C53" s="116"/>
      <c r="D53" s="116"/>
      <c r="E53" s="91" t="s">
        <v>235</v>
      </c>
      <c r="F53" s="92">
        <f t="shared" si="21"/>
        <v>6846</v>
      </c>
      <c r="G53" s="104">
        <v>6520</v>
      </c>
      <c r="H53" s="104">
        <v>326</v>
      </c>
      <c r="I53" s="92">
        <f>J53+K53</f>
        <v>6846</v>
      </c>
      <c r="J53" s="104">
        <v>6520</v>
      </c>
      <c r="K53" s="104">
        <v>326</v>
      </c>
      <c r="L53" s="92">
        <f>M53+N53</f>
        <v>0</v>
      </c>
      <c r="M53" s="81">
        <f t="shared" si="6"/>
        <v>0</v>
      </c>
      <c r="N53" s="81">
        <f t="shared" si="7"/>
        <v>0</v>
      </c>
      <c r="O53" s="92">
        <f>P53+Q53</f>
        <v>0</v>
      </c>
      <c r="P53" s="104">
        <v>0</v>
      </c>
      <c r="Q53" s="104"/>
      <c r="R53" s="115" t="s">
        <v>335</v>
      </c>
      <c r="S53" s="68"/>
    </row>
    <row r="54" spans="1:19" ht="54.75">
      <c r="A54" s="107" t="s">
        <v>75</v>
      </c>
      <c r="B54" s="71" t="s">
        <v>336</v>
      </c>
      <c r="C54" s="71"/>
      <c r="D54" s="71"/>
      <c r="E54" s="71"/>
      <c r="F54" s="72">
        <f aca="true" t="shared" si="23" ref="F54:L54">F55</f>
        <v>62969</v>
      </c>
      <c r="G54" s="72">
        <f t="shared" si="23"/>
        <v>59970</v>
      </c>
      <c r="H54" s="72">
        <f t="shared" si="23"/>
        <v>2999</v>
      </c>
      <c r="I54" s="72">
        <f t="shared" si="23"/>
        <v>8961</v>
      </c>
      <c r="J54" s="72">
        <f t="shared" si="23"/>
        <v>8421</v>
      </c>
      <c r="K54" s="72">
        <f t="shared" si="23"/>
        <v>540</v>
      </c>
      <c r="L54" s="72">
        <f t="shared" si="23"/>
        <v>54008</v>
      </c>
      <c r="M54" s="81">
        <f t="shared" si="6"/>
        <v>51549</v>
      </c>
      <c r="N54" s="81">
        <f t="shared" si="7"/>
        <v>2459</v>
      </c>
      <c r="O54" s="72">
        <f>O55</f>
        <v>18000</v>
      </c>
      <c r="P54" s="72">
        <f>P55</f>
        <v>18000</v>
      </c>
      <c r="Q54" s="72">
        <f>Q55</f>
        <v>0</v>
      </c>
      <c r="R54" s="117"/>
      <c r="S54" s="68"/>
    </row>
    <row r="55" spans="1:19" ht="27">
      <c r="A55" s="89">
        <v>1</v>
      </c>
      <c r="B55" s="79" t="s">
        <v>337</v>
      </c>
      <c r="C55" s="116"/>
      <c r="D55" s="116"/>
      <c r="E55" s="91" t="s">
        <v>235</v>
      </c>
      <c r="F55" s="104">
        <f>G55+H55</f>
        <v>62969</v>
      </c>
      <c r="G55" s="104">
        <v>59970</v>
      </c>
      <c r="H55" s="104">
        <v>2999</v>
      </c>
      <c r="I55" s="92">
        <f>J55+K55</f>
        <v>8961</v>
      </c>
      <c r="J55" s="92">
        <f>2460+5961</f>
        <v>8421</v>
      </c>
      <c r="K55" s="92">
        <v>540</v>
      </c>
      <c r="L55" s="92">
        <f>M55+N55</f>
        <v>54008</v>
      </c>
      <c r="M55" s="81">
        <f t="shared" si="6"/>
        <v>51549</v>
      </c>
      <c r="N55" s="81">
        <f t="shared" si="7"/>
        <v>2459</v>
      </c>
      <c r="O55" s="92">
        <f>P55+Q55</f>
        <v>18000</v>
      </c>
      <c r="P55" s="92">
        <v>18000</v>
      </c>
      <c r="Q55" s="92"/>
      <c r="R55" s="91" t="s">
        <v>65</v>
      </c>
      <c r="S55" s="68"/>
    </row>
    <row r="56" spans="1:19" ht="69">
      <c r="A56" s="107" t="s">
        <v>80</v>
      </c>
      <c r="B56" s="71" t="s">
        <v>338</v>
      </c>
      <c r="C56" s="116"/>
      <c r="D56" s="116"/>
      <c r="E56" s="118"/>
      <c r="F56" s="72">
        <f>F57</f>
        <v>4979</v>
      </c>
      <c r="G56" s="72">
        <f aca="true" t="shared" si="24" ref="G56:L56">G57</f>
        <v>4742</v>
      </c>
      <c r="H56" s="72">
        <f t="shared" si="24"/>
        <v>237</v>
      </c>
      <c r="I56" s="72">
        <f t="shared" si="24"/>
        <v>896</v>
      </c>
      <c r="J56" s="72">
        <f t="shared" si="24"/>
        <v>853</v>
      </c>
      <c r="K56" s="72">
        <f t="shared" si="24"/>
        <v>43</v>
      </c>
      <c r="L56" s="72">
        <f t="shared" si="24"/>
        <v>4083</v>
      </c>
      <c r="M56" s="81">
        <f t="shared" si="6"/>
        <v>3889</v>
      </c>
      <c r="N56" s="81">
        <f t="shared" si="7"/>
        <v>194</v>
      </c>
      <c r="O56" s="72">
        <f>O57</f>
        <v>1300</v>
      </c>
      <c r="P56" s="72">
        <f>P57</f>
        <v>1300</v>
      </c>
      <c r="Q56" s="72">
        <f>Q57</f>
        <v>0</v>
      </c>
      <c r="R56" s="117"/>
      <c r="S56" s="68"/>
    </row>
    <row r="57" spans="1:256" ht="54.75">
      <c r="A57" s="89">
        <v>8</v>
      </c>
      <c r="B57" s="79" t="s">
        <v>339</v>
      </c>
      <c r="C57" s="89"/>
      <c r="D57" s="89"/>
      <c r="E57" s="91" t="s">
        <v>235</v>
      </c>
      <c r="F57" s="92">
        <f>G57+H57</f>
        <v>4979</v>
      </c>
      <c r="G57" s="92">
        <v>4742</v>
      </c>
      <c r="H57" s="92">
        <v>237</v>
      </c>
      <c r="I57" s="92">
        <f>J57+K57</f>
        <v>896</v>
      </c>
      <c r="J57" s="92">
        <v>853</v>
      </c>
      <c r="K57" s="92">
        <v>43</v>
      </c>
      <c r="L57" s="92">
        <f>M57+N57</f>
        <v>4083</v>
      </c>
      <c r="M57" s="81">
        <f t="shared" si="6"/>
        <v>3889</v>
      </c>
      <c r="N57" s="81">
        <f t="shared" si="7"/>
        <v>194</v>
      </c>
      <c r="O57" s="92">
        <f>P57+Q57</f>
        <v>1300</v>
      </c>
      <c r="P57" s="92">
        <v>1300</v>
      </c>
      <c r="Q57" s="92"/>
      <c r="R57" s="119" t="s">
        <v>340</v>
      </c>
      <c r="S57" s="68"/>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0"/>
      <c r="BR57" s="120"/>
      <c r="BS57" s="120"/>
      <c r="BT57" s="120"/>
      <c r="BU57" s="120"/>
      <c r="BV57" s="120"/>
      <c r="BW57" s="120"/>
      <c r="BX57" s="120"/>
      <c r="BY57" s="120"/>
      <c r="BZ57" s="120"/>
      <c r="CA57" s="120"/>
      <c r="CB57" s="120"/>
      <c r="CC57" s="120"/>
      <c r="CD57" s="120"/>
      <c r="CE57" s="120"/>
      <c r="CF57" s="120"/>
      <c r="CG57" s="120"/>
      <c r="CH57" s="120"/>
      <c r="CI57" s="120"/>
      <c r="CJ57" s="120"/>
      <c r="CK57" s="120"/>
      <c r="CL57" s="120"/>
      <c r="CM57" s="120"/>
      <c r="CN57" s="120"/>
      <c r="CO57" s="120"/>
      <c r="CP57" s="120"/>
      <c r="CQ57" s="120"/>
      <c r="CR57" s="120"/>
      <c r="CS57" s="120"/>
      <c r="CT57" s="120"/>
      <c r="CU57" s="120"/>
      <c r="CV57" s="120"/>
      <c r="CW57" s="120"/>
      <c r="CX57" s="120"/>
      <c r="CY57" s="120"/>
      <c r="CZ57" s="120"/>
      <c r="DA57" s="120"/>
      <c r="DB57" s="120"/>
      <c r="DC57" s="120"/>
      <c r="DD57" s="120"/>
      <c r="DE57" s="120"/>
      <c r="DF57" s="120"/>
      <c r="DG57" s="120"/>
      <c r="DH57" s="120"/>
      <c r="DI57" s="120"/>
      <c r="DJ57" s="120"/>
      <c r="DK57" s="120"/>
      <c r="DL57" s="120"/>
      <c r="DM57" s="120"/>
      <c r="DN57" s="120"/>
      <c r="DO57" s="120"/>
      <c r="DP57" s="120"/>
      <c r="DQ57" s="120"/>
      <c r="DR57" s="120"/>
      <c r="DS57" s="120"/>
      <c r="DT57" s="120"/>
      <c r="DU57" s="120"/>
      <c r="DV57" s="120"/>
      <c r="DW57" s="120"/>
      <c r="DX57" s="120"/>
      <c r="DY57" s="120"/>
      <c r="DZ57" s="120"/>
      <c r="EA57" s="120"/>
      <c r="EB57" s="120"/>
      <c r="EC57" s="120"/>
      <c r="ED57" s="120"/>
      <c r="EE57" s="120"/>
      <c r="EF57" s="120"/>
      <c r="EG57" s="120"/>
      <c r="EH57" s="120"/>
      <c r="EI57" s="120"/>
      <c r="EJ57" s="120"/>
      <c r="EK57" s="120"/>
      <c r="EL57" s="120"/>
      <c r="EM57" s="120"/>
      <c r="EN57" s="120"/>
      <c r="EO57" s="120"/>
      <c r="EP57" s="120"/>
      <c r="EQ57" s="120"/>
      <c r="ER57" s="120"/>
      <c r="ES57" s="120"/>
      <c r="ET57" s="120"/>
      <c r="EU57" s="120"/>
      <c r="EV57" s="120"/>
      <c r="EW57" s="120"/>
      <c r="EX57" s="120"/>
      <c r="EY57" s="120"/>
      <c r="EZ57" s="120"/>
      <c r="FA57" s="120"/>
      <c r="FB57" s="120"/>
      <c r="FC57" s="120"/>
      <c r="FD57" s="120"/>
      <c r="FE57" s="120"/>
      <c r="FF57" s="120"/>
      <c r="FG57" s="120"/>
      <c r="FH57" s="120"/>
      <c r="FI57" s="120"/>
      <c r="FJ57" s="120"/>
      <c r="FK57" s="120"/>
      <c r="FL57" s="120"/>
      <c r="FM57" s="120"/>
      <c r="FN57" s="120"/>
      <c r="FO57" s="120"/>
      <c r="FP57" s="120"/>
      <c r="FQ57" s="120"/>
      <c r="FR57" s="120"/>
      <c r="FS57" s="120"/>
      <c r="FT57" s="120"/>
      <c r="FU57" s="120"/>
      <c r="FV57" s="120"/>
      <c r="FW57" s="120"/>
      <c r="FX57" s="120"/>
      <c r="FY57" s="120"/>
      <c r="FZ57" s="120"/>
      <c r="GA57" s="120"/>
      <c r="GB57" s="120"/>
      <c r="GC57" s="120"/>
      <c r="GD57" s="120"/>
      <c r="GE57" s="120"/>
      <c r="GF57" s="120"/>
      <c r="GG57" s="120"/>
      <c r="GH57" s="120"/>
      <c r="GI57" s="120"/>
      <c r="GJ57" s="120"/>
      <c r="GK57" s="120"/>
      <c r="GL57" s="120"/>
      <c r="GM57" s="120"/>
      <c r="GN57" s="120"/>
      <c r="GO57" s="120"/>
      <c r="GP57" s="120"/>
      <c r="GQ57" s="120"/>
      <c r="GR57" s="120"/>
      <c r="GS57" s="120"/>
      <c r="GT57" s="120"/>
      <c r="GU57" s="120"/>
      <c r="GV57" s="120"/>
      <c r="GW57" s="120"/>
      <c r="GX57" s="120"/>
      <c r="GY57" s="120"/>
      <c r="GZ57" s="120"/>
      <c r="HA57" s="120"/>
      <c r="HB57" s="120"/>
      <c r="HC57" s="120"/>
      <c r="HD57" s="120"/>
      <c r="HE57" s="120"/>
      <c r="HF57" s="120"/>
      <c r="HG57" s="120"/>
      <c r="HH57" s="120"/>
      <c r="HI57" s="120"/>
      <c r="HJ57" s="120"/>
      <c r="HK57" s="120"/>
      <c r="HL57" s="120"/>
      <c r="HM57" s="120"/>
      <c r="HN57" s="120"/>
      <c r="HO57" s="120"/>
      <c r="HP57" s="120"/>
      <c r="HQ57" s="120"/>
      <c r="HR57" s="120"/>
      <c r="HS57" s="120"/>
      <c r="HT57" s="120"/>
      <c r="HU57" s="120"/>
      <c r="HV57" s="120"/>
      <c r="HW57" s="120"/>
      <c r="HX57" s="120"/>
      <c r="HY57" s="120"/>
      <c r="HZ57" s="120"/>
      <c r="IA57" s="120"/>
      <c r="IB57" s="120"/>
      <c r="IC57" s="120"/>
      <c r="ID57" s="120"/>
      <c r="IE57" s="120"/>
      <c r="IF57" s="120"/>
      <c r="IG57" s="120"/>
      <c r="IH57" s="120"/>
      <c r="II57" s="120"/>
      <c r="IJ57" s="120"/>
      <c r="IK57" s="120"/>
      <c r="IL57" s="120"/>
      <c r="IM57" s="120"/>
      <c r="IN57" s="120"/>
      <c r="IO57" s="120"/>
      <c r="IP57" s="120"/>
      <c r="IQ57" s="120"/>
      <c r="IR57" s="120"/>
      <c r="IS57" s="120"/>
      <c r="IT57" s="120"/>
      <c r="IU57" s="120"/>
      <c r="IV57" s="120"/>
    </row>
    <row r="58" spans="1:256" s="155" customFormat="1" ht="13.5">
      <c r="A58" s="148" t="s">
        <v>157</v>
      </c>
      <c r="B58" s="149" t="s">
        <v>241</v>
      </c>
      <c r="C58" s="148"/>
      <c r="D58" s="148"/>
      <c r="E58" s="150"/>
      <c r="F58" s="151">
        <f aca="true" t="shared" si="25" ref="F58:L58">F59+F68+F78</f>
        <v>871547</v>
      </c>
      <c r="G58" s="151">
        <f t="shared" si="25"/>
        <v>828265</v>
      </c>
      <c r="H58" s="151">
        <f t="shared" si="25"/>
        <v>43282</v>
      </c>
      <c r="I58" s="151">
        <f t="shared" si="25"/>
        <v>151718</v>
      </c>
      <c r="J58" s="151">
        <f t="shared" si="25"/>
        <v>144333</v>
      </c>
      <c r="K58" s="151">
        <f t="shared" si="25"/>
        <v>7385</v>
      </c>
      <c r="L58" s="151">
        <f t="shared" si="25"/>
        <v>719829</v>
      </c>
      <c r="M58" s="152">
        <f t="shared" si="6"/>
        <v>683932</v>
      </c>
      <c r="N58" s="152">
        <f t="shared" si="7"/>
        <v>35897</v>
      </c>
      <c r="O58" s="151">
        <f>O59+O68+O78</f>
        <v>187565</v>
      </c>
      <c r="P58" s="151">
        <f>P59+P68+P78</f>
        <v>187565</v>
      </c>
      <c r="Q58" s="151">
        <f>Q59+Q68+Q78</f>
        <v>0</v>
      </c>
      <c r="R58" s="150"/>
      <c r="S58" s="153"/>
      <c r="T58" s="154"/>
      <c r="U58" s="154"/>
      <c r="V58" s="154"/>
      <c r="W58" s="154"/>
      <c r="X58" s="154"/>
      <c r="Y58" s="154"/>
      <c r="Z58" s="154"/>
      <c r="AA58" s="154"/>
      <c r="AB58" s="154"/>
      <c r="AC58" s="154"/>
      <c r="AD58" s="154"/>
      <c r="AE58" s="154"/>
      <c r="AF58" s="154"/>
      <c r="AG58" s="154"/>
      <c r="AH58" s="154"/>
      <c r="AI58" s="154"/>
      <c r="AJ58" s="154"/>
      <c r="AK58" s="154"/>
      <c r="AL58" s="154"/>
      <c r="AM58" s="154"/>
      <c r="AN58" s="154"/>
      <c r="AO58" s="154"/>
      <c r="AP58" s="154"/>
      <c r="AQ58" s="154"/>
      <c r="AR58" s="154"/>
      <c r="AS58" s="154"/>
      <c r="AT58" s="154"/>
      <c r="AU58" s="154"/>
      <c r="AV58" s="154"/>
      <c r="AW58" s="154"/>
      <c r="AX58" s="154"/>
      <c r="AY58" s="154"/>
      <c r="AZ58" s="154"/>
      <c r="BA58" s="154"/>
      <c r="BB58" s="154"/>
      <c r="BC58" s="154"/>
      <c r="BD58" s="154"/>
      <c r="BE58" s="154"/>
      <c r="BF58" s="154"/>
      <c r="BG58" s="154"/>
      <c r="BH58" s="154"/>
      <c r="BI58" s="154"/>
      <c r="BJ58" s="154"/>
      <c r="BK58" s="154"/>
      <c r="BL58" s="154"/>
      <c r="BM58" s="154"/>
      <c r="BN58" s="154"/>
      <c r="BO58" s="154"/>
      <c r="BP58" s="154"/>
      <c r="BQ58" s="154"/>
      <c r="BR58" s="154"/>
      <c r="BS58" s="154"/>
      <c r="BT58" s="154"/>
      <c r="BU58" s="154"/>
      <c r="BV58" s="154"/>
      <c r="BW58" s="154"/>
      <c r="BX58" s="154"/>
      <c r="BY58" s="154"/>
      <c r="BZ58" s="154"/>
      <c r="CA58" s="154"/>
      <c r="CB58" s="154"/>
      <c r="CC58" s="154"/>
      <c r="CD58" s="154"/>
      <c r="CE58" s="154"/>
      <c r="CF58" s="154"/>
      <c r="CG58" s="154"/>
      <c r="CH58" s="154"/>
      <c r="CI58" s="154"/>
      <c r="CJ58" s="154"/>
      <c r="CK58" s="154"/>
      <c r="CL58" s="154"/>
      <c r="CM58" s="154"/>
      <c r="CN58" s="154"/>
      <c r="CO58" s="154"/>
      <c r="CP58" s="154"/>
      <c r="CQ58" s="154"/>
      <c r="CR58" s="154"/>
      <c r="CS58" s="154"/>
      <c r="CT58" s="154"/>
      <c r="CU58" s="154"/>
      <c r="CV58" s="154"/>
      <c r="CW58" s="154"/>
      <c r="CX58" s="154"/>
      <c r="CY58" s="154"/>
      <c r="CZ58" s="154"/>
      <c r="DA58" s="154"/>
      <c r="DB58" s="154"/>
      <c r="DC58" s="154"/>
      <c r="DD58" s="154"/>
      <c r="DE58" s="154"/>
      <c r="DF58" s="154"/>
      <c r="DG58" s="154"/>
      <c r="DH58" s="154"/>
      <c r="DI58" s="154"/>
      <c r="DJ58" s="154"/>
      <c r="DK58" s="154"/>
      <c r="DL58" s="154"/>
      <c r="DM58" s="154"/>
      <c r="DN58" s="154"/>
      <c r="DO58" s="154"/>
      <c r="DP58" s="154"/>
      <c r="DQ58" s="154"/>
      <c r="DR58" s="154"/>
      <c r="DS58" s="154"/>
      <c r="DT58" s="154"/>
      <c r="DU58" s="154"/>
      <c r="DV58" s="154"/>
      <c r="DW58" s="154"/>
      <c r="DX58" s="154"/>
      <c r="DY58" s="154"/>
      <c r="DZ58" s="154"/>
      <c r="EA58" s="154"/>
      <c r="EB58" s="154"/>
      <c r="EC58" s="154"/>
      <c r="ED58" s="154"/>
      <c r="EE58" s="154"/>
      <c r="EF58" s="154"/>
      <c r="EG58" s="154"/>
      <c r="EH58" s="154"/>
      <c r="EI58" s="154"/>
      <c r="EJ58" s="154"/>
      <c r="EK58" s="154"/>
      <c r="EL58" s="154"/>
      <c r="EM58" s="154"/>
      <c r="EN58" s="154"/>
      <c r="EO58" s="154"/>
      <c r="EP58" s="154"/>
      <c r="EQ58" s="154"/>
      <c r="ER58" s="154"/>
      <c r="ES58" s="154"/>
      <c r="ET58" s="154"/>
      <c r="EU58" s="154"/>
      <c r="EV58" s="154"/>
      <c r="EW58" s="154"/>
      <c r="EX58" s="154"/>
      <c r="EY58" s="154"/>
      <c r="EZ58" s="154"/>
      <c r="FA58" s="154"/>
      <c r="FB58" s="154"/>
      <c r="FC58" s="154"/>
      <c r="FD58" s="154"/>
      <c r="FE58" s="154"/>
      <c r="FF58" s="154"/>
      <c r="FG58" s="154"/>
      <c r="FH58" s="154"/>
      <c r="FI58" s="154"/>
      <c r="FJ58" s="154"/>
      <c r="FK58" s="154"/>
      <c r="FL58" s="154"/>
      <c r="FM58" s="154"/>
      <c r="FN58" s="154"/>
      <c r="FO58" s="154"/>
      <c r="FP58" s="154"/>
      <c r="FQ58" s="154"/>
      <c r="FR58" s="154"/>
      <c r="FS58" s="154"/>
      <c r="FT58" s="154"/>
      <c r="FU58" s="154"/>
      <c r="FV58" s="154"/>
      <c r="FW58" s="154"/>
      <c r="FX58" s="154"/>
      <c r="FY58" s="154"/>
      <c r="FZ58" s="154"/>
      <c r="GA58" s="154"/>
      <c r="GB58" s="154"/>
      <c r="GC58" s="154"/>
      <c r="GD58" s="154"/>
      <c r="GE58" s="154"/>
      <c r="GF58" s="154"/>
      <c r="GG58" s="154"/>
      <c r="GH58" s="154"/>
      <c r="GI58" s="154"/>
      <c r="GJ58" s="154"/>
      <c r="GK58" s="154"/>
      <c r="GL58" s="154"/>
      <c r="GM58" s="154"/>
      <c r="GN58" s="154"/>
      <c r="GO58" s="154"/>
      <c r="GP58" s="154"/>
      <c r="GQ58" s="154"/>
      <c r="GR58" s="154"/>
      <c r="GS58" s="154"/>
      <c r="GT58" s="154"/>
      <c r="GU58" s="154"/>
      <c r="GV58" s="154"/>
      <c r="GW58" s="154"/>
      <c r="GX58" s="154"/>
      <c r="GY58" s="154"/>
      <c r="GZ58" s="154"/>
      <c r="HA58" s="154"/>
      <c r="HB58" s="154"/>
      <c r="HC58" s="154"/>
      <c r="HD58" s="154"/>
      <c r="HE58" s="154"/>
      <c r="HF58" s="154"/>
      <c r="HG58" s="154"/>
      <c r="HH58" s="154"/>
      <c r="HI58" s="154"/>
      <c r="HJ58" s="154"/>
      <c r="HK58" s="154"/>
      <c r="HL58" s="154"/>
      <c r="HM58" s="154"/>
      <c r="HN58" s="154"/>
      <c r="HO58" s="154"/>
      <c r="HP58" s="154"/>
      <c r="HQ58" s="154"/>
      <c r="HR58" s="154"/>
      <c r="HS58" s="154"/>
      <c r="HT58" s="154"/>
      <c r="HU58" s="154"/>
      <c r="HV58" s="154"/>
      <c r="HW58" s="154"/>
      <c r="HX58" s="154"/>
      <c r="HY58" s="154"/>
      <c r="HZ58" s="154"/>
      <c r="IA58" s="154"/>
      <c r="IB58" s="154"/>
      <c r="IC58" s="154"/>
      <c r="ID58" s="154"/>
      <c r="IE58" s="154"/>
      <c r="IF58" s="154"/>
      <c r="IG58" s="154"/>
      <c r="IH58" s="154"/>
      <c r="II58" s="154"/>
      <c r="IJ58" s="154"/>
      <c r="IK58" s="154"/>
      <c r="IL58" s="154"/>
      <c r="IM58" s="154"/>
      <c r="IN58" s="154"/>
      <c r="IO58" s="154"/>
      <c r="IP58" s="154"/>
      <c r="IQ58" s="154"/>
      <c r="IR58" s="154"/>
      <c r="IS58" s="154"/>
      <c r="IT58" s="154"/>
      <c r="IU58" s="154"/>
      <c r="IV58" s="154"/>
    </row>
    <row r="59" spans="1:19" ht="41.25">
      <c r="A59" s="66" t="s">
        <v>17</v>
      </c>
      <c r="B59" s="71" t="s">
        <v>252</v>
      </c>
      <c r="C59" s="71"/>
      <c r="D59" s="71"/>
      <c r="E59" s="71"/>
      <c r="F59" s="72">
        <f>F60</f>
        <v>55905</v>
      </c>
      <c r="G59" s="72">
        <f aca="true" t="shared" si="26" ref="G59:L59">G60</f>
        <v>51465</v>
      </c>
      <c r="H59" s="72">
        <f t="shared" si="26"/>
        <v>4440</v>
      </c>
      <c r="I59" s="72">
        <f t="shared" si="26"/>
        <v>4897</v>
      </c>
      <c r="J59" s="72">
        <f t="shared" si="26"/>
        <v>4505</v>
      </c>
      <c r="K59" s="72">
        <f t="shared" si="26"/>
        <v>392</v>
      </c>
      <c r="L59" s="72">
        <f t="shared" si="26"/>
        <v>51008</v>
      </c>
      <c r="M59" s="81">
        <f t="shared" si="6"/>
        <v>46960</v>
      </c>
      <c r="N59" s="81">
        <f t="shared" si="7"/>
        <v>4048</v>
      </c>
      <c r="O59" s="72">
        <f>O60</f>
        <v>5820</v>
      </c>
      <c r="P59" s="72">
        <f>P60</f>
        <v>5820</v>
      </c>
      <c r="Q59" s="72">
        <f>Q60</f>
        <v>0</v>
      </c>
      <c r="R59" s="73"/>
      <c r="S59" s="68"/>
    </row>
    <row r="60" spans="1:256" ht="28.5">
      <c r="A60" s="74"/>
      <c r="B60" s="75" t="s">
        <v>341</v>
      </c>
      <c r="C60" s="75"/>
      <c r="D60" s="83"/>
      <c r="E60" s="83"/>
      <c r="F60" s="76">
        <f aca="true" t="shared" si="27" ref="F60:F67">G60+H60</f>
        <v>55905</v>
      </c>
      <c r="G60" s="76">
        <f aca="true" t="shared" si="28" ref="G60:L60">SUM(G61:G67)</f>
        <v>51465</v>
      </c>
      <c r="H60" s="76">
        <f t="shared" si="28"/>
        <v>4440</v>
      </c>
      <c r="I60" s="76">
        <f t="shared" si="28"/>
        <v>4897</v>
      </c>
      <c r="J60" s="76">
        <f t="shared" si="28"/>
        <v>4505</v>
      </c>
      <c r="K60" s="76">
        <f t="shared" si="28"/>
        <v>392</v>
      </c>
      <c r="L60" s="76">
        <f t="shared" si="28"/>
        <v>51008</v>
      </c>
      <c r="M60" s="81">
        <f t="shared" si="6"/>
        <v>46960</v>
      </c>
      <c r="N60" s="81">
        <f t="shared" si="7"/>
        <v>4048</v>
      </c>
      <c r="O60" s="76">
        <f>SUM(O61:O67)</f>
        <v>5820</v>
      </c>
      <c r="P60" s="76">
        <f>SUM(P61:P67)</f>
        <v>5820</v>
      </c>
      <c r="Q60" s="76">
        <f>SUM(Q61:Q67)</f>
        <v>0</v>
      </c>
      <c r="R60" s="70"/>
      <c r="S60" s="68"/>
      <c r="T60" s="77"/>
      <c r="U60" s="77"/>
      <c r="V60" s="77"/>
      <c r="W60" s="77"/>
      <c r="X60" s="77"/>
      <c r="Y60" s="77"/>
      <c r="Z60" s="77"/>
      <c r="AA60" s="77"/>
      <c r="AB60" s="77"/>
      <c r="AC60" s="77"/>
      <c r="AD60" s="77"/>
      <c r="AE60" s="77"/>
      <c r="AF60" s="77"/>
      <c r="AG60" s="77"/>
      <c r="AH60" s="77"/>
      <c r="AI60" s="77"/>
      <c r="AJ60" s="77"/>
      <c r="AK60" s="77"/>
      <c r="AL60" s="77"/>
      <c r="AM60" s="77"/>
      <c r="AN60" s="77"/>
      <c r="AO60" s="77"/>
      <c r="AP60" s="77"/>
      <c r="AQ60" s="77"/>
      <c r="AR60" s="77"/>
      <c r="AS60" s="77"/>
      <c r="AT60" s="77"/>
      <c r="AU60" s="77"/>
      <c r="AV60" s="77"/>
      <c r="AW60" s="77"/>
      <c r="AX60" s="77"/>
      <c r="AY60" s="77"/>
      <c r="AZ60" s="77"/>
      <c r="BA60" s="77"/>
      <c r="BB60" s="77"/>
      <c r="BC60" s="77"/>
      <c r="BD60" s="77"/>
      <c r="BE60" s="77"/>
      <c r="BF60" s="77"/>
      <c r="BG60" s="77"/>
      <c r="BH60" s="77"/>
      <c r="BI60" s="77"/>
      <c r="BJ60" s="77"/>
      <c r="BK60" s="77"/>
      <c r="BL60" s="77"/>
      <c r="BM60" s="77"/>
      <c r="BN60" s="77"/>
      <c r="BO60" s="77"/>
      <c r="BP60" s="77"/>
      <c r="BQ60" s="77"/>
      <c r="BR60" s="77"/>
      <c r="BS60" s="77"/>
      <c r="BT60" s="77"/>
      <c r="BU60" s="77"/>
      <c r="BV60" s="77"/>
      <c r="BW60" s="77"/>
      <c r="BX60" s="77"/>
      <c r="BY60" s="77"/>
      <c r="BZ60" s="77"/>
      <c r="CA60" s="77"/>
      <c r="CB60" s="77"/>
      <c r="CC60" s="77"/>
      <c r="CD60" s="77"/>
      <c r="CE60" s="77"/>
      <c r="CF60" s="77"/>
      <c r="CG60" s="77"/>
      <c r="CH60" s="77"/>
      <c r="CI60" s="77"/>
      <c r="CJ60" s="77"/>
      <c r="CK60" s="77"/>
      <c r="CL60" s="77"/>
      <c r="CM60" s="77"/>
      <c r="CN60" s="77"/>
      <c r="CO60" s="77"/>
      <c r="CP60" s="77"/>
      <c r="CQ60" s="77"/>
      <c r="CR60" s="77"/>
      <c r="CS60" s="77"/>
      <c r="CT60" s="77"/>
      <c r="CU60" s="77"/>
      <c r="CV60" s="77"/>
      <c r="CW60" s="77"/>
      <c r="CX60" s="77"/>
      <c r="CY60" s="77"/>
      <c r="CZ60" s="77"/>
      <c r="DA60" s="77"/>
      <c r="DB60" s="77"/>
      <c r="DC60" s="77"/>
      <c r="DD60" s="77"/>
      <c r="DE60" s="77"/>
      <c r="DF60" s="77"/>
      <c r="DG60" s="77"/>
      <c r="DH60" s="77"/>
      <c r="DI60" s="77"/>
      <c r="DJ60" s="77"/>
      <c r="DK60" s="77"/>
      <c r="DL60" s="77"/>
      <c r="DM60" s="77"/>
      <c r="DN60" s="77"/>
      <c r="DO60" s="77"/>
      <c r="DP60" s="77"/>
      <c r="DQ60" s="77"/>
      <c r="DR60" s="77"/>
      <c r="DS60" s="77"/>
      <c r="DT60" s="77"/>
      <c r="DU60" s="77"/>
      <c r="DV60" s="77"/>
      <c r="DW60" s="77"/>
      <c r="DX60" s="77"/>
      <c r="DY60" s="77"/>
      <c r="DZ60" s="77"/>
      <c r="EA60" s="77"/>
      <c r="EB60" s="77"/>
      <c r="EC60" s="77"/>
      <c r="ED60" s="77"/>
      <c r="EE60" s="77"/>
      <c r="EF60" s="77"/>
      <c r="EG60" s="77"/>
      <c r="EH60" s="77"/>
      <c r="EI60" s="77"/>
      <c r="EJ60" s="77"/>
      <c r="EK60" s="77"/>
      <c r="EL60" s="77"/>
      <c r="EM60" s="77"/>
      <c r="EN60" s="77"/>
      <c r="EO60" s="77"/>
      <c r="EP60" s="77"/>
      <c r="EQ60" s="77"/>
      <c r="ER60" s="77"/>
      <c r="ES60" s="77"/>
      <c r="ET60" s="77"/>
      <c r="EU60" s="77"/>
      <c r="EV60" s="77"/>
      <c r="EW60" s="77"/>
      <c r="EX60" s="77"/>
      <c r="EY60" s="77"/>
      <c r="EZ60" s="77"/>
      <c r="FA60" s="77"/>
      <c r="FB60" s="77"/>
      <c r="FC60" s="77"/>
      <c r="FD60" s="77"/>
      <c r="FE60" s="77"/>
      <c r="FF60" s="77"/>
      <c r="FG60" s="77"/>
      <c r="FH60" s="77"/>
      <c r="FI60" s="77"/>
      <c r="FJ60" s="77"/>
      <c r="FK60" s="77"/>
      <c r="FL60" s="77"/>
      <c r="FM60" s="77"/>
      <c r="FN60" s="77"/>
      <c r="FO60" s="77"/>
      <c r="FP60" s="77"/>
      <c r="FQ60" s="77"/>
      <c r="FR60" s="77"/>
      <c r="FS60" s="77"/>
      <c r="FT60" s="77"/>
      <c r="FU60" s="77"/>
      <c r="FV60" s="77"/>
      <c r="FW60" s="77"/>
      <c r="FX60" s="77"/>
      <c r="FY60" s="77"/>
      <c r="FZ60" s="77"/>
      <c r="GA60" s="77"/>
      <c r="GB60" s="77"/>
      <c r="GC60" s="77"/>
      <c r="GD60" s="77"/>
      <c r="GE60" s="77"/>
      <c r="GF60" s="77"/>
      <c r="GG60" s="77"/>
      <c r="GH60" s="77"/>
      <c r="GI60" s="77"/>
      <c r="GJ60" s="77"/>
      <c r="GK60" s="77"/>
      <c r="GL60" s="77"/>
      <c r="GM60" s="77"/>
      <c r="GN60" s="77"/>
      <c r="GO60" s="77"/>
      <c r="GP60" s="77"/>
      <c r="GQ60" s="77"/>
      <c r="GR60" s="77"/>
      <c r="GS60" s="77"/>
      <c r="GT60" s="77"/>
      <c r="GU60" s="77"/>
      <c r="GV60" s="77"/>
      <c r="GW60" s="77"/>
      <c r="GX60" s="77"/>
      <c r="GY60" s="77"/>
      <c r="GZ60" s="77"/>
      <c r="HA60" s="77"/>
      <c r="HB60" s="77"/>
      <c r="HC60" s="77"/>
      <c r="HD60" s="77"/>
      <c r="HE60" s="77"/>
      <c r="HF60" s="77"/>
      <c r="HG60" s="77"/>
      <c r="HH60" s="77"/>
      <c r="HI60" s="77"/>
      <c r="HJ60" s="77"/>
      <c r="HK60" s="77"/>
      <c r="HL60" s="77"/>
      <c r="HM60" s="77"/>
      <c r="HN60" s="77"/>
      <c r="HO60" s="77"/>
      <c r="HP60" s="77"/>
      <c r="HQ60" s="77"/>
      <c r="HR60" s="77"/>
      <c r="HS60" s="77"/>
      <c r="HT60" s="77"/>
      <c r="HU60" s="77"/>
      <c r="HV60" s="77"/>
      <c r="HW60" s="77"/>
      <c r="HX60" s="77"/>
      <c r="HY60" s="77"/>
      <c r="HZ60" s="77"/>
      <c r="IA60" s="77"/>
      <c r="IB60" s="77"/>
      <c r="IC60" s="77"/>
      <c r="ID60" s="77"/>
      <c r="IE60" s="77"/>
      <c r="IF60" s="77"/>
      <c r="IG60" s="77"/>
      <c r="IH60" s="77"/>
      <c r="II60" s="77"/>
      <c r="IJ60" s="77"/>
      <c r="IK60" s="77"/>
      <c r="IL60" s="77"/>
      <c r="IM60" s="77"/>
      <c r="IN60" s="77"/>
      <c r="IO60" s="77"/>
      <c r="IP60" s="77"/>
      <c r="IQ60" s="77"/>
      <c r="IR60" s="77"/>
      <c r="IS60" s="77"/>
      <c r="IT60" s="77"/>
      <c r="IU60" s="77"/>
      <c r="IV60" s="77"/>
    </row>
    <row r="61" spans="1:19" ht="13.5">
      <c r="A61" s="80">
        <v>1</v>
      </c>
      <c r="B61" s="79" t="s">
        <v>156</v>
      </c>
      <c r="C61" s="79"/>
      <c r="D61" s="79"/>
      <c r="E61" s="91"/>
      <c r="F61" s="81">
        <f t="shared" si="27"/>
        <v>5045.5</v>
      </c>
      <c r="G61" s="104">
        <v>4617.5</v>
      </c>
      <c r="H61" s="104">
        <v>428</v>
      </c>
      <c r="I61" s="81">
        <f aca="true" t="shared" si="29" ref="I61:I67">J61+K61</f>
        <v>1278</v>
      </c>
      <c r="J61" s="104">
        <v>1170</v>
      </c>
      <c r="K61" s="104">
        <v>108</v>
      </c>
      <c r="L61" s="81">
        <f aca="true" t="shared" si="30" ref="L61:L67">M61+N61</f>
        <v>3767.5</v>
      </c>
      <c r="M61" s="81">
        <f t="shared" si="6"/>
        <v>3447.5</v>
      </c>
      <c r="N61" s="81">
        <f t="shared" si="7"/>
        <v>320</v>
      </c>
      <c r="O61" s="81">
        <f aca="true" t="shared" si="31" ref="O61:O67">P61+Q61</f>
        <v>1520</v>
      </c>
      <c r="P61" s="104">
        <v>1520</v>
      </c>
      <c r="Q61" s="104"/>
      <c r="R61" s="91"/>
      <c r="S61" s="68"/>
    </row>
    <row r="62" spans="1:19" ht="13.5">
      <c r="A62" s="80">
        <v>2</v>
      </c>
      <c r="B62" s="79" t="s">
        <v>151</v>
      </c>
      <c r="C62" s="79"/>
      <c r="D62" s="79"/>
      <c r="E62" s="91"/>
      <c r="F62" s="81">
        <f t="shared" si="27"/>
        <v>7681</v>
      </c>
      <c r="G62" s="104">
        <v>7085</v>
      </c>
      <c r="H62" s="104">
        <v>596</v>
      </c>
      <c r="I62" s="81">
        <f t="shared" si="29"/>
        <v>485</v>
      </c>
      <c r="J62" s="104">
        <v>445</v>
      </c>
      <c r="K62" s="104">
        <v>40</v>
      </c>
      <c r="L62" s="81">
        <f t="shared" si="30"/>
        <v>7196</v>
      </c>
      <c r="M62" s="81">
        <f t="shared" si="6"/>
        <v>6640</v>
      </c>
      <c r="N62" s="81">
        <f t="shared" si="7"/>
        <v>556</v>
      </c>
      <c r="O62" s="81">
        <f t="shared" si="31"/>
        <v>570</v>
      </c>
      <c r="P62" s="104">
        <v>570</v>
      </c>
      <c r="Q62" s="104"/>
      <c r="R62" s="91"/>
      <c r="S62" s="68"/>
    </row>
    <row r="63" spans="1:19" ht="13.5">
      <c r="A63" s="80">
        <v>3</v>
      </c>
      <c r="B63" s="79" t="s">
        <v>155</v>
      </c>
      <c r="C63" s="79"/>
      <c r="D63" s="79"/>
      <c r="E63" s="91"/>
      <c r="F63" s="81">
        <f t="shared" si="27"/>
        <v>5243</v>
      </c>
      <c r="G63" s="104">
        <v>4795</v>
      </c>
      <c r="H63" s="104">
        <v>448</v>
      </c>
      <c r="I63" s="81">
        <f t="shared" si="29"/>
        <v>485</v>
      </c>
      <c r="J63" s="104">
        <v>445</v>
      </c>
      <c r="K63" s="104">
        <v>40</v>
      </c>
      <c r="L63" s="81">
        <f t="shared" si="30"/>
        <v>4758</v>
      </c>
      <c r="M63" s="81">
        <f t="shared" si="6"/>
        <v>4350</v>
      </c>
      <c r="N63" s="81">
        <f t="shared" si="7"/>
        <v>408</v>
      </c>
      <c r="O63" s="81">
        <f t="shared" si="31"/>
        <v>570</v>
      </c>
      <c r="P63" s="104">
        <v>570</v>
      </c>
      <c r="Q63" s="104"/>
      <c r="R63" s="91"/>
      <c r="S63" s="68"/>
    </row>
    <row r="64" spans="1:19" ht="13.5">
      <c r="A64" s="80">
        <v>4</v>
      </c>
      <c r="B64" s="79" t="s">
        <v>150</v>
      </c>
      <c r="C64" s="79"/>
      <c r="D64" s="79"/>
      <c r="E64" s="91"/>
      <c r="F64" s="81">
        <f t="shared" si="27"/>
        <v>4590</v>
      </c>
      <c r="G64" s="104">
        <v>4230</v>
      </c>
      <c r="H64" s="104">
        <v>360</v>
      </c>
      <c r="I64" s="81">
        <f t="shared" si="29"/>
        <v>397</v>
      </c>
      <c r="J64" s="104">
        <v>365</v>
      </c>
      <c r="K64" s="104">
        <v>32</v>
      </c>
      <c r="L64" s="81">
        <f t="shared" si="30"/>
        <v>4193</v>
      </c>
      <c r="M64" s="81">
        <f t="shared" si="6"/>
        <v>3865</v>
      </c>
      <c r="N64" s="81">
        <f t="shared" si="7"/>
        <v>328</v>
      </c>
      <c r="O64" s="81">
        <f t="shared" si="31"/>
        <v>470</v>
      </c>
      <c r="P64" s="104">
        <v>470</v>
      </c>
      <c r="Q64" s="104"/>
      <c r="R64" s="91"/>
      <c r="S64" s="68"/>
    </row>
    <row r="65" spans="1:19" ht="13.5">
      <c r="A65" s="80">
        <v>5</v>
      </c>
      <c r="B65" s="79" t="s">
        <v>152</v>
      </c>
      <c r="C65" s="79"/>
      <c r="D65" s="79"/>
      <c r="E65" s="91"/>
      <c r="F65" s="81">
        <f t="shared" si="27"/>
        <v>9796</v>
      </c>
      <c r="G65" s="104">
        <v>9020</v>
      </c>
      <c r="H65" s="104">
        <v>776</v>
      </c>
      <c r="I65" s="81">
        <f t="shared" si="29"/>
        <v>530</v>
      </c>
      <c r="J65" s="104">
        <v>490</v>
      </c>
      <c r="K65" s="104">
        <v>40</v>
      </c>
      <c r="L65" s="81">
        <f t="shared" si="30"/>
        <v>9266</v>
      </c>
      <c r="M65" s="81">
        <f t="shared" si="6"/>
        <v>8530</v>
      </c>
      <c r="N65" s="81">
        <f t="shared" si="7"/>
        <v>736</v>
      </c>
      <c r="O65" s="81">
        <f t="shared" si="31"/>
        <v>630</v>
      </c>
      <c r="P65" s="104">
        <v>630</v>
      </c>
      <c r="Q65" s="104"/>
      <c r="R65" s="91"/>
      <c r="S65" s="68"/>
    </row>
    <row r="66" spans="1:19" ht="13.5">
      <c r="A66" s="80">
        <v>6</v>
      </c>
      <c r="B66" s="79" t="s">
        <v>153</v>
      </c>
      <c r="C66" s="79"/>
      <c r="D66" s="79"/>
      <c r="E66" s="91"/>
      <c r="F66" s="81">
        <f t="shared" si="27"/>
        <v>14482</v>
      </c>
      <c r="G66" s="104">
        <v>13370</v>
      </c>
      <c r="H66" s="104">
        <v>1112</v>
      </c>
      <c r="I66" s="81">
        <f t="shared" si="29"/>
        <v>1104</v>
      </c>
      <c r="J66" s="104">
        <v>1020</v>
      </c>
      <c r="K66" s="104">
        <v>84</v>
      </c>
      <c r="L66" s="81">
        <f t="shared" si="30"/>
        <v>13378</v>
      </c>
      <c r="M66" s="81">
        <f t="shared" si="6"/>
        <v>12350</v>
      </c>
      <c r="N66" s="81">
        <f t="shared" si="7"/>
        <v>1028</v>
      </c>
      <c r="O66" s="81">
        <f t="shared" si="31"/>
        <v>1320</v>
      </c>
      <c r="P66" s="104">
        <v>1320</v>
      </c>
      <c r="Q66" s="104"/>
      <c r="R66" s="91"/>
      <c r="S66" s="68"/>
    </row>
    <row r="67" spans="1:19" ht="13.5">
      <c r="A67" s="80">
        <v>7</v>
      </c>
      <c r="B67" s="79" t="s">
        <v>154</v>
      </c>
      <c r="C67" s="79"/>
      <c r="D67" s="79"/>
      <c r="E67" s="91"/>
      <c r="F67" s="81">
        <f t="shared" si="27"/>
        <v>9067.5</v>
      </c>
      <c r="G67" s="104">
        <v>8347.5</v>
      </c>
      <c r="H67" s="104">
        <v>720</v>
      </c>
      <c r="I67" s="81">
        <f t="shared" si="29"/>
        <v>618</v>
      </c>
      <c r="J67" s="104">
        <v>570</v>
      </c>
      <c r="K67" s="104">
        <v>48</v>
      </c>
      <c r="L67" s="81">
        <f t="shared" si="30"/>
        <v>8449.5</v>
      </c>
      <c r="M67" s="81">
        <f t="shared" si="6"/>
        <v>7777.5</v>
      </c>
      <c r="N67" s="81">
        <f t="shared" si="7"/>
        <v>672</v>
      </c>
      <c r="O67" s="81">
        <f t="shared" si="31"/>
        <v>740</v>
      </c>
      <c r="P67" s="104">
        <v>740</v>
      </c>
      <c r="Q67" s="104"/>
      <c r="R67" s="91"/>
      <c r="S67" s="68"/>
    </row>
    <row r="68" spans="1:25" ht="41.25">
      <c r="A68" s="66" t="s">
        <v>44</v>
      </c>
      <c r="B68" s="71" t="s">
        <v>280</v>
      </c>
      <c r="C68" s="71"/>
      <c r="D68" s="71"/>
      <c r="E68" s="71"/>
      <c r="F68" s="72">
        <f>F69</f>
        <v>787425</v>
      </c>
      <c r="G68" s="72">
        <f aca="true" t="shared" si="32" ref="G68:L68">G69</f>
        <v>749927</v>
      </c>
      <c r="H68" s="72">
        <f t="shared" si="32"/>
        <v>37498</v>
      </c>
      <c r="I68" s="72">
        <f t="shared" si="32"/>
        <v>141740</v>
      </c>
      <c r="J68" s="72">
        <f t="shared" si="32"/>
        <v>134990</v>
      </c>
      <c r="K68" s="72">
        <f t="shared" si="32"/>
        <v>6750</v>
      </c>
      <c r="L68" s="72">
        <f t="shared" si="32"/>
        <v>645685</v>
      </c>
      <c r="M68" s="81">
        <f t="shared" si="6"/>
        <v>614937</v>
      </c>
      <c r="N68" s="81">
        <f t="shared" si="7"/>
        <v>30748</v>
      </c>
      <c r="O68" s="72">
        <f>O69</f>
        <v>175470</v>
      </c>
      <c r="P68" s="72">
        <f>P69</f>
        <v>175470</v>
      </c>
      <c r="Q68" s="72"/>
      <c r="R68" s="73"/>
      <c r="S68" s="68"/>
      <c r="U68" s="145"/>
      <c r="V68" s="145"/>
      <c r="W68" s="145"/>
      <c r="X68" s="145"/>
      <c r="Y68" s="145"/>
    </row>
    <row r="69" spans="1:256" ht="42.75">
      <c r="A69" s="74"/>
      <c r="B69" s="75" t="s">
        <v>342</v>
      </c>
      <c r="C69" s="75"/>
      <c r="D69" s="75"/>
      <c r="E69" s="75"/>
      <c r="F69" s="121">
        <f aca="true" t="shared" si="33" ref="F69:L69">SUM(F70:F77)</f>
        <v>787425</v>
      </c>
      <c r="G69" s="121">
        <f t="shared" si="33"/>
        <v>749927</v>
      </c>
      <c r="H69" s="121">
        <f t="shared" si="33"/>
        <v>37498</v>
      </c>
      <c r="I69" s="121">
        <f t="shared" si="33"/>
        <v>141740</v>
      </c>
      <c r="J69" s="121">
        <f t="shared" si="33"/>
        <v>134990</v>
      </c>
      <c r="K69" s="121">
        <f t="shared" si="33"/>
        <v>6750</v>
      </c>
      <c r="L69" s="121">
        <f t="shared" si="33"/>
        <v>645685</v>
      </c>
      <c r="M69" s="81">
        <f t="shared" si="6"/>
        <v>614937</v>
      </c>
      <c r="N69" s="81">
        <f t="shared" si="7"/>
        <v>30748</v>
      </c>
      <c r="O69" s="121">
        <f>SUM(O70:O77)</f>
        <v>175470</v>
      </c>
      <c r="P69" s="121">
        <f>SUM(P70:P77)</f>
        <v>175470</v>
      </c>
      <c r="Q69" s="121"/>
      <c r="R69" s="73"/>
      <c r="S69" s="68"/>
      <c r="U69" s="123"/>
      <c r="V69" s="123"/>
      <c r="W69" s="123"/>
      <c r="X69" s="123"/>
      <c r="Y69" s="123"/>
      <c r="Z69" s="77"/>
      <c r="AA69" s="77"/>
      <c r="AB69" s="77"/>
      <c r="AC69" s="77"/>
      <c r="AD69" s="77"/>
      <c r="AE69" s="77"/>
      <c r="AF69" s="77"/>
      <c r="AG69" s="77"/>
      <c r="AH69" s="77"/>
      <c r="AI69" s="77"/>
      <c r="AJ69" s="77"/>
      <c r="AK69" s="77"/>
      <c r="AL69" s="77"/>
      <c r="AM69" s="77"/>
      <c r="AN69" s="77"/>
      <c r="AO69" s="77"/>
      <c r="AP69" s="77"/>
      <c r="AQ69" s="77"/>
      <c r="AR69" s="77"/>
      <c r="AS69" s="77"/>
      <c r="AT69" s="77"/>
      <c r="AU69" s="77"/>
      <c r="AV69" s="77"/>
      <c r="AW69" s="77"/>
      <c r="AX69" s="77"/>
      <c r="AY69" s="77"/>
      <c r="AZ69" s="77"/>
      <c r="BA69" s="77"/>
      <c r="BB69" s="77"/>
      <c r="BC69" s="77"/>
      <c r="BD69" s="77"/>
      <c r="BE69" s="77"/>
      <c r="BF69" s="77"/>
      <c r="BG69" s="77"/>
      <c r="BH69" s="77"/>
      <c r="BI69" s="77"/>
      <c r="BJ69" s="77"/>
      <c r="BK69" s="77"/>
      <c r="BL69" s="77"/>
      <c r="BM69" s="77"/>
      <c r="BN69" s="77"/>
      <c r="BO69" s="77"/>
      <c r="BP69" s="77"/>
      <c r="BQ69" s="77"/>
      <c r="BR69" s="77"/>
      <c r="BS69" s="77"/>
      <c r="BT69" s="77"/>
      <c r="BU69" s="77"/>
      <c r="BV69" s="77"/>
      <c r="BW69" s="77"/>
      <c r="BX69" s="77"/>
      <c r="BY69" s="77"/>
      <c r="BZ69" s="77"/>
      <c r="CA69" s="77"/>
      <c r="CB69" s="77"/>
      <c r="CC69" s="77"/>
      <c r="CD69" s="77"/>
      <c r="CE69" s="77"/>
      <c r="CF69" s="77"/>
      <c r="CG69" s="77"/>
      <c r="CH69" s="77"/>
      <c r="CI69" s="77"/>
      <c r="CJ69" s="77"/>
      <c r="CK69" s="77"/>
      <c r="CL69" s="77"/>
      <c r="CM69" s="77"/>
      <c r="CN69" s="77"/>
      <c r="CO69" s="77"/>
      <c r="CP69" s="77"/>
      <c r="CQ69" s="77"/>
      <c r="CR69" s="77"/>
      <c r="CS69" s="77"/>
      <c r="CT69" s="77"/>
      <c r="CU69" s="77"/>
      <c r="CV69" s="77"/>
      <c r="CW69" s="77"/>
      <c r="CX69" s="77"/>
      <c r="CY69" s="77"/>
      <c r="CZ69" s="77"/>
      <c r="DA69" s="77"/>
      <c r="DB69" s="77"/>
      <c r="DC69" s="77"/>
      <c r="DD69" s="77"/>
      <c r="DE69" s="77"/>
      <c r="DF69" s="77"/>
      <c r="DG69" s="77"/>
      <c r="DH69" s="77"/>
      <c r="DI69" s="77"/>
      <c r="DJ69" s="77"/>
      <c r="DK69" s="77"/>
      <c r="DL69" s="77"/>
      <c r="DM69" s="77"/>
      <c r="DN69" s="77"/>
      <c r="DO69" s="77"/>
      <c r="DP69" s="77"/>
      <c r="DQ69" s="77"/>
      <c r="DR69" s="77"/>
      <c r="DS69" s="77"/>
      <c r="DT69" s="77"/>
      <c r="DU69" s="77"/>
      <c r="DV69" s="77"/>
      <c r="DW69" s="77"/>
      <c r="DX69" s="77"/>
      <c r="DY69" s="77"/>
      <c r="DZ69" s="77"/>
      <c r="EA69" s="77"/>
      <c r="EB69" s="77"/>
      <c r="EC69" s="77"/>
      <c r="ED69" s="77"/>
      <c r="EE69" s="77"/>
      <c r="EF69" s="77"/>
      <c r="EG69" s="77"/>
      <c r="EH69" s="77"/>
      <c r="EI69" s="77"/>
      <c r="EJ69" s="77"/>
      <c r="EK69" s="77"/>
      <c r="EL69" s="77"/>
      <c r="EM69" s="77"/>
      <c r="EN69" s="77"/>
      <c r="EO69" s="77"/>
      <c r="EP69" s="77"/>
      <c r="EQ69" s="77"/>
      <c r="ER69" s="77"/>
      <c r="ES69" s="77"/>
      <c r="ET69" s="77"/>
      <c r="EU69" s="77"/>
      <c r="EV69" s="77"/>
      <c r="EW69" s="77"/>
      <c r="EX69" s="77"/>
      <c r="EY69" s="77"/>
      <c r="EZ69" s="77"/>
      <c r="FA69" s="77"/>
      <c r="FB69" s="77"/>
      <c r="FC69" s="77"/>
      <c r="FD69" s="77"/>
      <c r="FE69" s="77"/>
      <c r="FF69" s="77"/>
      <c r="FG69" s="77"/>
      <c r="FH69" s="77"/>
      <c r="FI69" s="77"/>
      <c r="FJ69" s="77"/>
      <c r="FK69" s="77"/>
      <c r="FL69" s="77"/>
      <c r="FM69" s="77"/>
      <c r="FN69" s="77"/>
      <c r="FO69" s="77"/>
      <c r="FP69" s="77"/>
      <c r="FQ69" s="77"/>
      <c r="FR69" s="77"/>
      <c r="FS69" s="77"/>
      <c r="FT69" s="77"/>
      <c r="FU69" s="77"/>
      <c r="FV69" s="77"/>
      <c r="FW69" s="77"/>
      <c r="FX69" s="77"/>
      <c r="FY69" s="77"/>
      <c r="FZ69" s="77"/>
      <c r="GA69" s="77"/>
      <c r="GB69" s="77"/>
      <c r="GC69" s="77"/>
      <c r="GD69" s="77"/>
      <c r="GE69" s="77"/>
      <c r="GF69" s="77"/>
      <c r="GG69" s="77"/>
      <c r="GH69" s="77"/>
      <c r="GI69" s="77"/>
      <c r="GJ69" s="77"/>
      <c r="GK69" s="77"/>
      <c r="GL69" s="77"/>
      <c r="GM69" s="77"/>
      <c r="GN69" s="77"/>
      <c r="GO69" s="77"/>
      <c r="GP69" s="77"/>
      <c r="GQ69" s="77"/>
      <c r="GR69" s="77"/>
      <c r="GS69" s="77"/>
      <c r="GT69" s="77"/>
      <c r="GU69" s="77"/>
      <c r="GV69" s="77"/>
      <c r="GW69" s="77"/>
      <c r="GX69" s="77"/>
      <c r="GY69" s="77"/>
      <c r="GZ69" s="77"/>
      <c r="HA69" s="77"/>
      <c r="HB69" s="77"/>
      <c r="HC69" s="77"/>
      <c r="HD69" s="77"/>
      <c r="HE69" s="77"/>
      <c r="HF69" s="77"/>
      <c r="HG69" s="77"/>
      <c r="HH69" s="77"/>
      <c r="HI69" s="77"/>
      <c r="HJ69" s="77"/>
      <c r="HK69" s="77"/>
      <c r="HL69" s="77"/>
      <c r="HM69" s="77"/>
      <c r="HN69" s="77"/>
      <c r="HO69" s="77"/>
      <c r="HP69" s="77"/>
      <c r="HQ69" s="77"/>
      <c r="HR69" s="77"/>
      <c r="HS69" s="77"/>
      <c r="HT69" s="77"/>
      <c r="HU69" s="77"/>
      <c r="HV69" s="77"/>
      <c r="HW69" s="77"/>
      <c r="HX69" s="77"/>
      <c r="HY69" s="77"/>
      <c r="HZ69" s="77"/>
      <c r="IA69" s="77"/>
      <c r="IB69" s="77"/>
      <c r="IC69" s="77"/>
      <c r="ID69" s="77"/>
      <c r="IE69" s="77"/>
      <c r="IF69" s="77"/>
      <c r="IG69" s="77"/>
      <c r="IH69" s="77"/>
      <c r="II69" s="77"/>
      <c r="IJ69" s="77"/>
      <c r="IK69" s="77"/>
      <c r="IL69" s="77"/>
      <c r="IM69" s="77"/>
      <c r="IN69" s="77"/>
      <c r="IO69" s="77"/>
      <c r="IP69" s="77"/>
      <c r="IQ69" s="77"/>
      <c r="IR69" s="77"/>
      <c r="IS69" s="77"/>
      <c r="IT69" s="77"/>
      <c r="IU69" s="77"/>
      <c r="IV69" s="77"/>
    </row>
    <row r="70" spans="1:19" ht="13.5">
      <c r="A70" s="80">
        <v>1</v>
      </c>
      <c r="B70" s="124" t="s">
        <v>156</v>
      </c>
      <c r="C70" s="80"/>
      <c r="D70" s="80"/>
      <c r="E70" s="80"/>
      <c r="F70" s="81">
        <f aca="true" t="shared" si="34" ref="F70:F77">G70+H70</f>
        <v>94569</v>
      </c>
      <c r="G70" s="81">
        <v>90066</v>
      </c>
      <c r="H70" s="81">
        <v>4503</v>
      </c>
      <c r="I70" s="81">
        <f>J70+K70</f>
        <v>17022</v>
      </c>
      <c r="J70" s="81">
        <v>16212</v>
      </c>
      <c r="K70" s="81">
        <v>809.9999999999999</v>
      </c>
      <c r="L70" s="81">
        <f>M70+N70</f>
        <v>77547</v>
      </c>
      <c r="M70" s="81">
        <f t="shared" si="6"/>
        <v>73854</v>
      </c>
      <c r="N70" s="81">
        <f t="shared" si="7"/>
        <v>3693</v>
      </c>
      <c r="O70" s="81">
        <f>P70+Q70</f>
        <v>21080</v>
      </c>
      <c r="P70" s="81">
        <v>21080</v>
      </c>
      <c r="Q70" s="81"/>
      <c r="R70" s="125"/>
      <c r="S70" s="68"/>
    </row>
    <row r="71" spans="1:19" ht="13.5">
      <c r="A71" s="80">
        <v>2</v>
      </c>
      <c r="B71" s="124" t="s">
        <v>151</v>
      </c>
      <c r="C71" s="80"/>
      <c r="D71" s="80"/>
      <c r="E71" s="80"/>
      <c r="F71" s="81">
        <f t="shared" si="34"/>
        <v>120748</v>
      </c>
      <c r="G71" s="81">
        <v>114998</v>
      </c>
      <c r="H71" s="81">
        <v>5750</v>
      </c>
      <c r="I71" s="81">
        <f>J71+K71</f>
        <v>21735</v>
      </c>
      <c r="J71" s="81">
        <v>20700</v>
      </c>
      <c r="K71" s="81">
        <v>1035</v>
      </c>
      <c r="L71" s="81">
        <f>M71+N71</f>
        <v>99013</v>
      </c>
      <c r="M71" s="81">
        <f t="shared" si="6"/>
        <v>94298</v>
      </c>
      <c r="N71" s="81">
        <f t="shared" si="7"/>
        <v>4715</v>
      </c>
      <c r="O71" s="81">
        <f>P71+Q71</f>
        <v>26910</v>
      </c>
      <c r="P71" s="81">
        <v>26910</v>
      </c>
      <c r="Q71" s="81"/>
      <c r="R71" s="126"/>
      <c r="S71" s="68"/>
    </row>
    <row r="72" spans="1:19" ht="13.5">
      <c r="A72" s="80">
        <v>3</v>
      </c>
      <c r="B72" s="124" t="s">
        <v>155</v>
      </c>
      <c r="C72" s="97"/>
      <c r="D72" s="97"/>
      <c r="E72" s="97"/>
      <c r="F72" s="81">
        <f t="shared" si="34"/>
        <v>92936</v>
      </c>
      <c r="G72" s="81">
        <v>88510</v>
      </c>
      <c r="H72" s="81">
        <v>4426</v>
      </c>
      <c r="I72" s="81">
        <f aca="true" t="shared" si="35" ref="I72:I77">J72+K72</f>
        <v>16729</v>
      </c>
      <c r="J72" s="81">
        <v>15932</v>
      </c>
      <c r="K72" s="81">
        <v>797</v>
      </c>
      <c r="L72" s="81">
        <f aca="true" t="shared" si="36" ref="L72:L77">M72+N72</f>
        <v>76207</v>
      </c>
      <c r="M72" s="81">
        <f t="shared" si="6"/>
        <v>72578</v>
      </c>
      <c r="N72" s="81">
        <f t="shared" si="7"/>
        <v>3629</v>
      </c>
      <c r="O72" s="81">
        <f aca="true" t="shared" si="37" ref="O72:O77">P72+Q72</f>
        <v>20710</v>
      </c>
      <c r="P72" s="81">
        <v>20710</v>
      </c>
      <c r="Q72" s="81"/>
      <c r="R72" s="126"/>
      <c r="S72" s="68"/>
    </row>
    <row r="73" spans="1:19" ht="13.5">
      <c r="A73" s="80">
        <v>4</v>
      </c>
      <c r="B73" s="124" t="s">
        <v>150</v>
      </c>
      <c r="C73" s="97"/>
      <c r="D73" s="97"/>
      <c r="E73" s="97"/>
      <c r="F73" s="81">
        <f t="shared" si="34"/>
        <v>99142</v>
      </c>
      <c r="G73" s="81">
        <v>94421</v>
      </c>
      <c r="H73" s="81">
        <v>4721</v>
      </c>
      <c r="I73" s="81">
        <f t="shared" si="35"/>
        <v>17846</v>
      </c>
      <c r="J73" s="81">
        <v>16996</v>
      </c>
      <c r="K73" s="81">
        <v>850.0000000000001</v>
      </c>
      <c r="L73" s="81">
        <f t="shared" si="36"/>
        <v>81296</v>
      </c>
      <c r="M73" s="81">
        <f t="shared" si="6"/>
        <v>77425</v>
      </c>
      <c r="N73" s="81">
        <f t="shared" si="7"/>
        <v>3871</v>
      </c>
      <c r="O73" s="81">
        <f t="shared" si="37"/>
        <v>22090</v>
      </c>
      <c r="P73" s="81">
        <v>22090</v>
      </c>
      <c r="Q73" s="81"/>
      <c r="R73" s="126"/>
      <c r="S73" s="68"/>
    </row>
    <row r="74" spans="1:19" ht="13.5">
      <c r="A74" s="80">
        <v>5</v>
      </c>
      <c r="B74" s="124" t="s">
        <v>152</v>
      </c>
      <c r="C74" s="97"/>
      <c r="D74" s="97"/>
      <c r="E74" s="97"/>
      <c r="F74" s="81">
        <f t="shared" si="34"/>
        <v>154894</v>
      </c>
      <c r="G74" s="81">
        <v>147518</v>
      </c>
      <c r="H74" s="81">
        <v>7376</v>
      </c>
      <c r="I74" s="81">
        <f t="shared" si="35"/>
        <v>27882</v>
      </c>
      <c r="J74" s="81">
        <v>26554</v>
      </c>
      <c r="K74" s="81">
        <v>1328</v>
      </c>
      <c r="L74" s="81">
        <f t="shared" si="36"/>
        <v>127012</v>
      </c>
      <c r="M74" s="81">
        <f t="shared" si="6"/>
        <v>120964</v>
      </c>
      <c r="N74" s="81">
        <f t="shared" si="7"/>
        <v>6048</v>
      </c>
      <c r="O74" s="81">
        <f t="shared" si="37"/>
        <v>34520</v>
      </c>
      <c r="P74" s="81">
        <v>34520</v>
      </c>
      <c r="Q74" s="81"/>
      <c r="R74" s="126"/>
      <c r="S74" s="68"/>
    </row>
    <row r="75" spans="1:19" ht="13.5">
      <c r="A75" s="80">
        <v>6</v>
      </c>
      <c r="B75" s="79" t="s">
        <v>153</v>
      </c>
      <c r="C75" s="97"/>
      <c r="D75" s="97"/>
      <c r="E75" s="97"/>
      <c r="F75" s="81">
        <f t="shared" si="34"/>
        <v>101338</v>
      </c>
      <c r="G75" s="81">
        <v>96512</v>
      </c>
      <c r="H75" s="81">
        <v>4826</v>
      </c>
      <c r="I75" s="81">
        <f t="shared" si="35"/>
        <v>18242</v>
      </c>
      <c r="J75" s="81">
        <v>17373</v>
      </c>
      <c r="K75" s="81">
        <v>869</v>
      </c>
      <c r="L75" s="81">
        <f t="shared" si="36"/>
        <v>83096</v>
      </c>
      <c r="M75" s="81">
        <f t="shared" si="6"/>
        <v>79139</v>
      </c>
      <c r="N75" s="81">
        <f t="shared" si="7"/>
        <v>3957</v>
      </c>
      <c r="O75" s="81">
        <f t="shared" si="37"/>
        <v>22580</v>
      </c>
      <c r="P75" s="81">
        <v>22580</v>
      </c>
      <c r="Q75" s="81"/>
      <c r="R75" s="126"/>
      <c r="S75" s="68"/>
    </row>
    <row r="76" spans="1:19" ht="13.5">
      <c r="A76" s="80">
        <v>7</v>
      </c>
      <c r="B76" s="79" t="s">
        <v>154</v>
      </c>
      <c r="C76" s="97"/>
      <c r="D76" s="97"/>
      <c r="E76" s="97"/>
      <c r="F76" s="81">
        <f t="shared" si="34"/>
        <v>122293</v>
      </c>
      <c r="G76" s="81">
        <v>116469</v>
      </c>
      <c r="H76" s="81">
        <v>5824</v>
      </c>
      <c r="I76" s="81">
        <f t="shared" si="35"/>
        <v>22013</v>
      </c>
      <c r="J76" s="81">
        <v>20965</v>
      </c>
      <c r="K76" s="81">
        <v>1048</v>
      </c>
      <c r="L76" s="81">
        <f t="shared" si="36"/>
        <v>100280</v>
      </c>
      <c r="M76" s="81">
        <f aca="true" t="shared" si="38" ref="M76:M85">G76-J76</f>
        <v>95504</v>
      </c>
      <c r="N76" s="81">
        <f aca="true" t="shared" si="39" ref="N76:N85">H76-K76</f>
        <v>4776</v>
      </c>
      <c r="O76" s="81">
        <f t="shared" si="37"/>
        <v>27250</v>
      </c>
      <c r="P76" s="81">
        <v>27250</v>
      </c>
      <c r="Q76" s="81"/>
      <c r="R76" s="126"/>
      <c r="S76" s="68"/>
    </row>
    <row r="77" spans="1:19" ht="13.5">
      <c r="A77" s="80">
        <v>8</v>
      </c>
      <c r="B77" s="79" t="s">
        <v>149</v>
      </c>
      <c r="C77" s="97"/>
      <c r="D77" s="97"/>
      <c r="E77" s="97"/>
      <c r="F77" s="81">
        <f t="shared" si="34"/>
        <v>1505</v>
      </c>
      <c r="G77" s="81">
        <v>1433</v>
      </c>
      <c r="H77" s="81">
        <v>72</v>
      </c>
      <c r="I77" s="81">
        <f t="shared" si="35"/>
        <v>271</v>
      </c>
      <c r="J77" s="81">
        <v>258</v>
      </c>
      <c r="K77" s="81">
        <v>13</v>
      </c>
      <c r="L77" s="81">
        <f t="shared" si="36"/>
        <v>1234</v>
      </c>
      <c r="M77" s="81">
        <f t="shared" si="38"/>
        <v>1175</v>
      </c>
      <c r="N77" s="81">
        <f t="shared" si="39"/>
        <v>59</v>
      </c>
      <c r="O77" s="81">
        <f t="shared" si="37"/>
        <v>330</v>
      </c>
      <c r="P77" s="81">
        <v>330</v>
      </c>
      <c r="Q77" s="81"/>
      <c r="R77" s="126"/>
      <c r="S77" s="68"/>
    </row>
    <row r="78" spans="1:19" ht="69">
      <c r="A78" s="107" t="s">
        <v>80</v>
      </c>
      <c r="B78" s="71" t="s">
        <v>338</v>
      </c>
      <c r="C78" s="116"/>
      <c r="D78" s="116"/>
      <c r="E78" s="118"/>
      <c r="F78" s="72">
        <f aca="true" t="shared" si="40" ref="F78:K78">SUM(F79:F85)</f>
        <v>28217</v>
      </c>
      <c r="G78" s="72">
        <f t="shared" si="40"/>
        <v>26873</v>
      </c>
      <c r="H78" s="72">
        <f t="shared" si="40"/>
        <v>1344</v>
      </c>
      <c r="I78" s="72">
        <f t="shared" si="40"/>
        <v>5081</v>
      </c>
      <c r="J78" s="72">
        <f t="shared" si="40"/>
        <v>4838</v>
      </c>
      <c r="K78" s="72">
        <f t="shared" si="40"/>
        <v>243</v>
      </c>
      <c r="L78" s="72">
        <f>SUM(L79:L85)</f>
        <v>23136</v>
      </c>
      <c r="M78" s="81">
        <f t="shared" si="38"/>
        <v>22035</v>
      </c>
      <c r="N78" s="81">
        <f t="shared" si="39"/>
        <v>1101</v>
      </c>
      <c r="O78" s="72">
        <f>SUM(O79:O85)</f>
        <v>6275</v>
      </c>
      <c r="P78" s="72">
        <f>SUM(P79:P85)</f>
        <v>6275</v>
      </c>
      <c r="Q78" s="72">
        <f>SUM(Q79:Q85)</f>
        <v>0</v>
      </c>
      <c r="R78" s="117"/>
      <c r="S78" s="68"/>
    </row>
    <row r="79" spans="1:19" ht="13.5">
      <c r="A79" s="89">
        <v>1</v>
      </c>
      <c r="B79" s="124" t="s">
        <v>156</v>
      </c>
      <c r="C79" s="116"/>
      <c r="D79" s="116"/>
      <c r="E79" s="91" t="s">
        <v>235</v>
      </c>
      <c r="F79" s="92">
        <f>G79+H79</f>
        <v>3433</v>
      </c>
      <c r="G79" s="92">
        <v>3269</v>
      </c>
      <c r="H79" s="92">
        <v>164</v>
      </c>
      <c r="I79" s="92">
        <f>J79+K79</f>
        <v>618</v>
      </c>
      <c r="J79" s="92">
        <v>588</v>
      </c>
      <c r="K79" s="92">
        <v>30</v>
      </c>
      <c r="L79" s="92">
        <f>M79+N79</f>
        <v>2815</v>
      </c>
      <c r="M79" s="81">
        <f t="shared" si="38"/>
        <v>2681</v>
      </c>
      <c r="N79" s="81">
        <f t="shared" si="39"/>
        <v>134</v>
      </c>
      <c r="O79" s="92">
        <f>P79+Q79</f>
        <v>760</v>
      </c>
      <c r="P79" s="92">
        <v>760</v>
      </c>
      <c r="Q79" s="92"/>
      <c r="R79" s="119"/>
      <c r="S79" s="68"/>
    </row>
    <row r="80" spans="1:19" ht="13.5">
      <c r="A80" s="89">
        <v>2</v>
      </c>
      <c r="B80" s="124" t="s">
        <v>151</v>
      </c>
      <c r="C80" s="116"/>
      <c r="D80" s="116"/>
      <c r="E80" s="91" t="s">
        <v>235</v>
      </c>
      <c r="F80" s="92">
        <f aca="true" t="shared" si="41" ref="F80:F85">G80+H80</f>
        <v>3474</v>
      </c>
      <c r="G80" s="92">
        <v>3309</v>
      </c>
      <c r="H80" s="92">
        <v>165</v>
      </c>
      <c r="I80" s="92">
        <f aca="true" t="shared" si="42" ref="I80:I85">J80+K80</f>
        <v>626</v>
      </c>
      <c r="J80" s="92">
        <v>596</v>
      </c>
      <c r="K80" s="92">
        <v>30</v>
      </c>
      <c r="L80" s="92">
        <f aca="true" t="shared" si="43" ref="L80:L85">M80+N80</f>
        <v>2848</v>
      </c>
      <c r="M80" s="81">
        <f t="shared" si="38"/>
        <v>2713</v>
      </c>
      <c r="N80" s="81">
        <f t="shared" si="39"/>
        <v>135</v>
      </c>
      <c r="O80" s="92">
        <f aca="true" t="shared" si="44" ref="O80:O85">P80+Q80</f>
        <v>775</v>
      </c>
      <c r="P80" s="92">
        <v>775</v>
      </c>
      <c r="Q80" s="92"/>
      <c r="R80" s="119"/>
      <c r="S80" s="68"/>
    </row>
    <row r="81" spans="1:19" ht="13.5">
      <c r="A81" s="89">
        <v>3</v>
      </c>
      <c r="B81" s="124" t="s">
        <v>155</v>
      </c>
      <c r="C81" s="116"/>
      <c r="D81" s="116"/>
      <c r="E81" s="91" t="s">
        <v>235</v>
      </c>
      <c r="F81" s="92">
        <f t="shared" si="41"/>
        <v>3798</v>
      </c>
      <c r="G81" s="92">
        <v>3617</v>
      </c>
      <c r="H81" s="92">
        <v>181</v>
      </c>
      <c r="I81" s="92">
        <f t="shared" si="42"/>
        <v>684</v>
      </c>
      <c r="J81" s="92">
        <v>651</v>
      </c>
      <c r="K81" s="92">
        <v>33</v>
      </c>
      <c r="L81" s="92">
        <f t="shared" si="43"/>
        <v>3114</v>
      </c>
      <c r="M81" s="81">
        <f t="shared" si="38"/>
        <v>2966</v>
      </c>
      <c r="N81" s="81">
        <f t="shared" si="39"/>
        <v>148</v>
      </c>
      <c r="O81" s="92">
        <f t="shared" si="44"/>
        <v>840</v>
      </c>
      <c r="P81" s="92">
        <v>840</v>
      </c>
      <c r="Q81" s="92"/>
      <c r="R81" s="119"/>
      <c r="S81" s="68"/>
    </row>
    <row r="82" spans="1:19" ht="13.5">
      <c r="A82" s="89">
        <v>4</v>
      </c>
      <c r="B82" s="124" t="s">
        <v>150</v>
      </c>
      <c r="C82" s="116"/>
      <c r="D82" s="116"/>
      <c r="E82" s="91" t="s">
        <v>235</v>
      </c>
      <c r="F82" s="92">
        <f t="shared" si="41"/>
        <v>3440</v>
      </c>
      <c r="G82" s="92">
        <v>3276</v>
      </c>
      <c r="H82" s="92">
        <v>164</v>
      </c>
      <c r="I82" s="92">
        <f t="shared" si="42"/>
        <v>619</v>
      </c>
      <c r="J82" s="92">
        <v>590</v>
      </c>
      <c r="K82" s="92">
        <v>29</v>
      </c>
      <c r="L82" s="92">
        <f t="shared" si="43"/>
        <v>2821</v>
      </c>
      <c r="M82" s="81">
        <f t="shared" si="38"/>
        <v>2686</v>
      </c>
      <c r="N82" s="81">
        <f t="shared" si="39"/>
        <v>135</v>
      </c>
      <c r="O82" s="92">
        <f t="shared" si="44"/>
        <v>760</v>
      </c>
      <c r="P82" s="92">
        <v>760</v>
      </c>
      <c r="Q82" s="92"/>
      <c r="R82" s="119"/>
      <c r="S82" s="68"/>
    </row>
    <row r="83" spans="1:19" ht="13.5">
      <c r="A83" s="89">
        <v>5</v>
      </c>
      <c r="B83" s="124" t="s">
        <v>152</v>
      </c>
      <c r="C83" s="116"/>
      <c r="D83" s="116"/>
      <c r="E83" s="91" t="s">
        <v>235</v>
      </c>
      <c r="F83" s="92">
        <f t="shared" si="41"/>
        <v>5551</v>
      </c>
      <c r="G83" s="92">
        <v>5287</v>
      </c>
      <c r="H83" s="92">
        <v>264</v>
      </c>
      <c r="I83" s="92">
        <f t="shared" si="42"/>
        <v>1000</v>
      </c>
      <c r="J83" s="92">
        <v>952</v>
      </c>
      <c r="K83" s="92">
        <v>48</v>
      </c>
      <c r="L83" s="92">
        <f t="shared" si="43"/>
        <v>4551</v>
      </c>
      <c r="M83" s="81">
        <f t="shared" si="38"/>
        <v>4335</v>
      </c>
      <c r="N83" s="81">
        <f t="shared" si="39"/>
        <v>216</v>
      </c>
      <c r="O83" s="92">
        <f t="shared" si="44"/>
        <v>1240</v>
      </c>
      <c r="P83" s="92">
        <v>1240</v>
      </c>
      <c r="Q83" s="92"/>
      <c r="R83" s="119"/>
      <c r="S83" s="68"/>
    </row>
    <row r="84" spans="1:19" ht="13.5">
      <c r="A84" s="89">
        <v>6</v>
      </c>
      <c r="B84" s="79" t="s">
        <v>153</v>
      </c>
      <c r="C84" s="116"/>
      <c r="D84" s="116"/>
      <c r="E84" s="91" t="s">
        <v>235</v>
      </c>
      <c r="F84" s="92">
        <f t="shared" si="41"/>
        <v>4212</v>
      </c>
      <c r="G84" s="92">
        <v>4011</v>
      </c>
      <c r="H84" s="92">
        <v>201</v>
      </c>
      <c r="I84" s="92">
        <f t="shared" si="42"/>
        <v>758</v>
      </c>
      <c r="J84" s="92">
        <v>722</v>
      </c>
      <c r="K84" s="92">
        <v>36</v>
      </c>
      <c r="L84" s="92">
        <f t="shared" si="43"/>
        <v>3454</v>
      </c>
      <c r="M84" s="81">
        <f t="shared" si="38"/>
        <v>3289</v>
      </c>
      <c r="N84" s="81">
        <f t="shared" si="39"/>
        <v>165</v>
      </c>
      <c r="O84" s="92">
        <f t="shared" si="44"/>
        <v>940</v>
      </c>
      <c r="P84" s="92">
        <v>940</v>
      </c>
      <c r="Q84" s="92"/>
      <c r="R84" s="119"/>
      <c r="S84" s="68"/>
    </row>
    <row r="85" spans="1:19" ht="13.5">
      <c r="A85" s="89">
        <v>7</v>
      </c>
      <c r="B85" s="79" t="s">
        <v>154</v>
      </c>
      <c r="C85" s="116"/>
      <c r="D85" s="116"/>
      <c r="E85" s="91" t="s">
        <v>235</v>
      </c>
      <c r="F85" s="92">
        <f t="shared" si="41"/>
        <v>4309</v>
      </c>
      <c r="G85" s="92">
        <v>4104</v>
      </c>
      <c r="H85" s="92">
        <v>205</v>
      </c>
      <c r="I85" s="92">
        <f t="shared" si="42"/>
        <v>776</v>
      </c>
      <c r="J85" s="92">
        <v>739</v>
      </c>
      <c r="K85" s="92">
        <v>37</v>
      </c>
      <c r="L85" s="92">
        <f t="shared" si="43"/>
        <v>3533</v>
      </c>
      <c r="M85" s="81">
        <f t="shared" si="38"/>
        <v>3365</v>
      </c>
      <c r="N85" s="81">
        <f t="shared" si="39"/>
        <v>168</v>
      </c>
      <c r="O85" s="92">
        <f t="shared" si="44"/>
        <v>960</v>
      </c>
      <c r="P85" s="92">
        <v>960</v>
      </c>
      <c r="Q85" s="92"/>
      <c r="R85" s="119"/>
      <c r="S85" s="68"/>
    </row>
  </sheetData>
  <sheetProtection/>
  <mergeCells count="19">
    <mergeCell ref="T22:Y22"/>
    <mergeCell ref="L5:N5"/>
    <mergeCell ref="O5:Q5"/>
    <mergeCell ref="D5:D6"/>
    <mergeCell ref="E5:E6"/>
    <mergeCell ref="F5:H5"/>
    <mergeCell ref="I5:K5"/>
    <mergeCell ref="R5:R6"/>
    <mergeCell ref="S5:S6"/>
    <mergeCell ref="T23:Y23"/>
    <mergeCell ref="T27:Y27"/>
    <mergeCell ref="T29:Y29"/>
    <mergeCell ref="A1:B1"/>
    <mergeCell ref="A2:S2"/>
    <mergeCell ref="A3:S3"/>
    <mergeCell ref="R4:S4"/>
    <mergeCell ref="A5:A6"/>
    <mergeCell ref="B5:B6"/>
    <mergeCell ref="C5:C6"/>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R17"/>
  <sheetViews>
    <sheetView zoomScale="85" zoomScaleNormal="85" zoomScalePageLayoutView="0" workbookViewId="0" topLeftCell="B1">
      <selection activeCell="M20" sqref="M20"/>
    </sheetView>
  </sheetViews>
  <sheetFormatPr defaultColWidth="9.140625" defaultRowHeight="15"/>
  <cols>
    <col min="1" max="1" width="9.28125" style="165" bestFit="1" customWidth="1"/>
    <col min="2" max="2" width="28.28125" style="165" customWidth="1"/>
    <col min="3" max="4" width="15.7109375" style="165" customWidth="1"/>
    <col min="5" max="6" width="16.140625" style="165" customWidth="1"/>
    <col min="7" max="7" width="15.7109375" style="165" customWidth="1"/>
    <col min="8" max="8" width="18.7109375" style="165" customWidth="1"/>
    <col min="9" max="9" width="14.8515625" style="165" customWidth="1"/>
    <col min="10" max="10" width="16.140625" style="165" customWidth="1"/>
    <col min="11" max="11" width="15.7109375" style="165" hidden="1" customWidth="1"/>
    <col min="12" max="12" width="12.8515625" style="165" hidden="1" customWidth="1"/>
    <col min="13" max="15" width="13.7109375" style="164" customWidth="1"/>
    <col min="16" max="16" width="10.7109375" style="165" bestFit="1" customWidth="1"/>
    <col min="17" max="17" width="11.00390625" style="165" bestFit="1" customWidth="1"/>
    <col min="18" max="18" width="12.140625" style="165" bestFit="1" customWidth="1"/>
    <col min="19" max="16384" width="9.140625" style="165" customWidth="1"/>
  </cols>
  <sheetData>
    <row r="1" spans="1:15" s="24" customFormat="1" ht="18">
      <c r="A1" s="459" t="s">
        <v>361</v>
      </c>
      <c r="B1" s="459"/>
      <c r="C1" s="162"/>
      <c r="D1" s="162"/>
      <c r="E1" s="161"/>
      <c r="F1" s="161"/>
      <c r="G1" s="161"/>
      <c r="H1" s="161"/>
      <c r="I1" s="161"/>
      <c r="J1" s="161"/>
      <c r="K1" s="161"/>
      <c r="L1" s="161"/>
      <c r="M1" s="163"/>
      <c r="N1" s="163"/>
      <c r="O1" s="163"/>
    </row>
    <row r="2" spans="1:15" s="24" customFormat="1" ht="18">
      <c r="A2" s="442" t="s">
        <v>362</v>
      </c>
      <c r="B2" s="442"/>
      <c r="C2" s="442"/>
      <c r="D2" s="442"/>
      <c r="E2" s="442"/>
      <c r="F2" s="442"/>
      <c r="G2" s="442"/>
      <c r="H2" s="442"/>
      <c r="I2" s="442"/>
      <c r="J2" s="442"/>
      <c r="K2" s="442"/>
      <c r="L2" s="442"/>
      <c r="M2" s="442"/>
      <c r="N2" s="442"/>
      <c r="O2" s="442"/>
    </row>
    <row r="3" spans="1:15" s="24" customFormat="1" ht="18">
      <c r="A3" s="460"/>
      <c r="B3" s="460"/>
      <c r="C3" s="460"/>
      <c r="D3" s="460"/>
      <c r="E3" s="460"/>
      <c r="F3" s="460"/>
      <c r="G3" s="460"/>
      <c r="H3" s="460"/>
      <c r="I3" s="460"/>
      <c r="J3" s="460"/>
      <c r="K3" s="460"/>
      <c r="L3" s="460"/>
      <c r="M3" s="163"/>
      <c r="N3" s="163"/>
      <c r="O3" s="163"/>
    </row>
    <row r="4" spans="1:12" ht="18">
      <c r="A4" s="132"/>
      <c r="B4" s="132"/>
      <c r="C4" s="132"/>
      <c r="D4" s="132"/>
      <c r="E4" s="132"/>
      <c r="F4" s="132"/>
      <c r="G4" s="132"/>
      <c r="H4" s="132"/>
      <c r="I4" s="132"/>
      <c r="J4" s="132"/>
      <c r="K4" s="461" t="s">
        <v>0</v>
      </c>
      <c r="L4" s="461"/>
    </row>
    <row r="5" spans="1:18" ht="31.5" customHeight="1">
      <c r="A5" s="462" t="s">
        <v>10</v>
      </c>
      <c r="B5" s="462" t="s">
        <v>346</v>
      </c>
      <c r="C5" s="451" t="s">
        <v>116</v>
      </c>
      <c r="D5" s="452"/>
      <c r="E5" s="453"/>
      <c r="F5" s="457" t="s">
        <v>225</v>
      </c>
      <c r="G5" s="457"/>
      <c r="H5" s="457"/>
      <c r="I5" s="457"/>
      <c r="J5" s="457"/>
      <c r="K5" s="457"/>
      <c r="L5" s="457"/>
      <c r="M5" s="458" t="s">
        <v>214</v>
      </c>
      <c r="N5" s="458"/>
      <c r="O5" s="458"/>
      <c r="P5" s="458" t="s">
        <v>363</v>
      </c>
      <c r="Q5" s="458"/>
      <c r="R5" s="458"/>
    </row>
    <row r="6" spans="1:18" ht="31.5" customHeight="1">
      <c r="A6" s="463"/>
      <c r="B6" s="463"/>
      <c r="C6" s="454"/>
      <c r="D6" s="455"/>
      <c r="E6" s="456"/>
      <c r="F6" s="457" t="s">
        <v>226</v>
      </c>
      <c r="G6" s="468" t="s">
        <v>4</v>
      </c>
      <c r="H6" s="468"/>
      <c r="I6" s="468"/>
      <c r="J6" s="468"/>
      <c r="K6" s="468"/>
      <c r="L6" s="468"/>
      <c r="M6" s="458"/>
      <c r="N6" s="458"/>
      <c r="O6" s="458"/>
      <c r="P6" s="458"/>
      <c r="Q6" s="458"/>
      <c r="R6" s="458"/>
    </row>
    <row r="7" spans="1:18" ht="35.25" customHeight="1">
      <c r="A7" s="463"/>
      <c r="B7" s="463"/>
      <c r="C7" s="457" t="s">
        <v>347</v>
      </c>
      <c r="D7" s="466" t="s">
        <v>348</v>
      </c>
      <c r="E7" s="457" t="s">
        <v>228</v>
      </c>
      <c r="F7" s="457"/>
      <c r="G7" s="465" t="s">
        <v>348</v>
      </c>
      <c r="H7" s="465"/>
      <c r="I7" s="465"/>
      <c r="J7" s="465" t="s">
        <v>228</v>
      </c>
      <c r="K7" s="465"/>
      <c r="L7" s="465"/>
      <c r="M7" s="458" t="s">
        <v>347</v>
      </c>
      <c r="N7" s="458" t="s">
        <v>348</v>
      </c>
      <c r="O7" s="458" t="s">
        <v>228</v>
      </c>
      <c r="P7" s="458" t="s">
        <v>347</v>
      </c>
      <c r="Q7" s="458" t="s">
        <v>348</v>
      </c>
      <c r="R7" s="458" t="s">
        <v>228</v>
      </c>
    </row>
    <row r="8" spans="1:18" ht="90">
      <c r="A8" s="464"/>
      <c r="B8" s="464"/>
      <c r="C8" s="457"/>
      <c r="D8" s="467"/>
      <c r="E8" s="457"/>
      <c r="F8" s="457"/>
      <c r="G8" s="133" t="s">
        <v>226</v>
      </c>
      <c r="H8" s="134" t="s">
        <v>349</v>
      </c>
      <c r="I8" s="135" t="s">
        <v>350</v>
      </c>
      <c r="J8" s="133" t="s">
        <v>226</v>
      </c>
      <c r="K8" s="134" t="s">
        <v>351</v>
      </c>
      <c r="L8" s="134" t="s">
        <v>352</v>
      </c>
      <c r="M8" s="458"/>
      <c r="N8" s="458"/>
      <c r="O8" s="458"/>
      <c r="P8" s="458"/>
      <c r="Q8" s="458"/>
      <c r="R8" s="458"/>
    </row>
    <row r="9" spans="1:18" ht="33.75" customHeight="1">
      <c r="A9" s="136"/>
      <c r="B9" s="137" t="s">
        <v>119</v>
      </c>
      <c r="C9" s="157">
        <f>SUM(C10:C17)</f>
        <v>435738</v>
      </c>
      <c r="D9" s="157">
        <f aca="true" t="shared" si="0" ref="D9:O9">SUM(D10:D17)</f>
        <v>394270</v>
      </c>
      <c r="E9" s="157">
        <f>SUM(E10:E17)</f>
        <v>41468</v>
      </c>
      <c r="F9" s="157">
        <f>SUM(F10:F17)</f>
        <v>174423</v>
      </c>
      <c r="G9" s="157">
        <f t="shared" si="0"/>
        <v>163290</v>
      </c>
      <c r="H9" s="157">
        <f t="shared" si="0"/>
        <v>124789.99999999999</v>
      </c>
      <c r="I9" s="157">
        <f t="shared" si="0"/>
        <v>38500</v>
      </c>
      <c r="J9" s="157">
        <f t="shared" si="0"/>
        <v>11133</v>
      </c>
      <c r="K9" s="157">
        <f t="shared" si="0"/>
        <v>6404</v>
      </c>
      <c r="L9" s="157">
        <f t="shared" si="0"/>
        <v>4729</v>
      </c>
      <c r="M9" s="157">
        <f t="shared" si="0"/>
        <v>261314.99999999997</v>
      </c>
      <c r="N9" s="157">
        <f t="shared" si="0"/>
        <v>230979.99999999997</v>
      </c>
      <c r="O9" s="157">
        <f t="shared" si="0"/>
        <v>30335</v>
      </c>
      <c r="P9" s="157">
        <f>SUM(P10:P17)</f>
        <v>108100</v>
      </c>
      <c r="Q9" s="157">
        <f>SUM(Q10:Q17)</f>
        <v>96500</v>
      </c>
      <c r="R9" s="157">
        <f>SUM(R10:R17)</f>
        <v>11600</v>
      </c>
    </row>
    <row r="10" spans="1:18" ht="33.75" customHeight="1">
      <c r="A10" s="138">
        <v>1</v>
      </c>
      <c r="B10" s="139" t="s">
        <v>353</v>
      </c>
      <c r="C10" s="158">
        <f>D10+E10</f>
        <v>18098</v>
      </c>
      <c r="D10" s="158">
        <v>17236</v>
      </c>
      <c r="E10" s="158">
        <v>862</v>
      </c>
      <c r="F10" s="158">
        <f>G10+J10</f>
        <v>18098</v>
      </c>
      <c r="G10" s="158">
        <f>H10+I10</f>
        <v>17236</v>
      </c>
      <c r="H10" s="158">
        <v>17236</v>
      </c>
      <c r="I10" s="158">
        <v>0</v>
      </c>
      <c r="J10" s="158">
        <f>K10+L10</f>
        <v>862</v>
      </c>
      <c r="K10" s="158">
        <v>862</v>
      </c>
      <c r="L10" s="158">
        <v>0</v>
      </c>
      <c r="M10" s="158">
        <f>N10+O10</f>
        <v>0</v>
      </c>
      <c r="N10" s="166">
        <f>D10-G10</f>
        <v>0</v>
      </c>
      <c r="O10" s="166">
        <f>E10-J10</f>
        <v>0</v>
      </c>
      <c r="P10" s="158">
        <f>Q10+R10</f>
        <v>0</v>
      </c>
      <c r="Q10" s="166">
        <v>0</v>
      </c>
      <c r="R10" s="166"/>
    </row>
    <row r="11" spans="1:18" ht="33.75" customHeight="1">
      <c r="A11" s="138">
        <v>2</v>
      </c>
      <c r="B11" s="139" t="s">
        <v>354</v>
      </c>
      <c r="C11" s="158">
        <f aca="true" t="shared" si="1" ref="C11:C17">D11+E11</f>
        <v>18036.9</v>
      </c>
      <c r="D11" s="159">
        <v>17148.9</v>
      </c>
      <c r="E11" s="159">
        <v>888</v>
      </c>
      <c r="F11" s="158">
        <f aca="true" t="shared" si="2" ref="F11:F17">G11+J11</f>
        <v>15370.2</v>
      </c>
      <c r="G11" s="158">
        <f aca="true" t="shared" si="3" ref="G11:G17">H11+I11</f>
        <v>14638.2</v>
      </c>
      <c r="H11" s="159">
        <v>14219.7</v>
      </c>
      <c r="I11" s="159">
        <v>418.5</v>
      </c>
      <c r="J11" s="158">
        <f aca="true" t="shared" si="4" ref="J11:J17">K11+L11</f>
        <v>732</v>
      </c>
      <c r="K11" s="159">
        <v>711</v>
      </c>
      <c r="L11" s="159">
        <v>21</v>
      </c>
      <c r="M11" s="158">
        <f aca="true" t="shared" si="5" ref="M11:M17">N11+O11</f>
        <v>2666.7000000000007</v>
      </c>
      <c r="N11" s="166">
        <f aca="true" t="shared" si="6" ref="N11:N17">D11-G11</f>
        <v>2510.7000000000007</v>
      </c>
      <c r="O11" s="166">
        <f aca="true" t="shared" si="7" ref="O11:O17">E11-J11</f>
        <v>156</v>
      </c>
      <c r="P11" s="158">
        <f aca="true" t="shared" si="8" ref="P11:P17">Q11+R11</f>
        <v>1103</v>
      </c>
      <c r="Q11" s="166">
        <v>1049</v>
      </c>
      <c r="R11" s="166">
        <v>54</v>
      </c>
    </row>
    <row r="12" spans="1:18" ht="33.75" customHeight="1">
      <c r="A12" s="138">
        <v>3</v>
      </c>
      <c r="B12" s="139" t="s">
        <v>355</v>
      </c>
      <c r="C12" s="158">
        <f t="shared" si="1"/>
        <v>179094.00000000003</v>
      </c>
      <c r="D12" s="159">
        <v>150339.00000000003</v>
      </c>
      <c r="E12" s="159">
        <v>28755</v>
      </c>
      <c r="F12" s="158">
        <f t="shared" si="2"/>
        <v>41741.3</v>
      </c>
      <c r="G12" s="158">
        <f t="shared" si="3"/>
        <v>37359.3</v>
      </c>
      <c r="H12" s="159">
        <v>18527.8</v>
      </c>
      <c r="I12" s="159">
        <v>18831.5</v>
      </c>
      <c r="J12" s="158">
        <f t="shared" si="4"/>
        <v>4382</v>
      </c>
      <c r="K12" s="159">
        <v>926</v>
      </c>
      <c r="L12" s="159">
        <v>3456</v>
      </c>
      <c r="M12" s="158">
        <f t="shared" si="5"/>
        <v>137352.7</v>
      </c>
      <c r="N12" s="166">
        <f t="shared" si="6"/>
        <v>112979.70000000003</v>
      </c>
      <c r="O12" s="166">
        <f t="shared" si="7"/>
        <v>24373</v>
      </c>
      <c r="P12" s="158">
        <f t="shared" si="8"/>
        <v>56226</v>
      </c>
      <c r="Q12" s="166">
        <v>47201</v>
      </c>
      <c r="R12" s="166">
        <v>9025</v>
      </c>
    </row>
    <row r="13" spans="1:18" ht="33.75" customHeight="1">
      <c r="A13" s="138">
        <v>4</v>
      </c>
      <c r="B13" s="140" t="s">
        <v>356</v>
      </c>
      <c r="C13" s="158">
        <f t="shared" si="1"/>
        <v>50994.19999999999</v>
      </c>
      <c r="D13" s="159">
        <v>48293.19999999999</v>
      </c>
      <c r="E13" s="159">
        <v>2701</v>
      </c>
      <c r="F13" s="158">
        <f t="shared" si="2"/>
        <v>21996.9</v>
      </c>
      <c r="G13" s="158">
        <f t="shared" si="3"/>
        <v>20676.9</v>
      </c>
      <c r="H13" s="159">
        <v>16073.7</v>
      </c>
      <c r="I13" s="159">
        <v>4603.2</v>
      </c>
      <c r="J13" s="158">
        <f t="shared" si="4"/>
        <v>1320</v>
      </c>
      <c r="K13" s="159">
        <v>804</v>
      </c>
      <c r="L13" s="159">
        <v>516</v>
      </c>
      <c r="M13" s="158">
        <f t="shared" si="5"/>
        <v>28997.29999999999</v>
      </c>
      <c r="N13" s="166">
        <f t="shared" si="6"/>
        <v>27616.29999999999</v>
      </c>
      <c r="O13" s="166">
        <f t="shared" si="7"/>
        <v>1381</v>
      </c>
      <c r="P13" s="158">
        <f t="shared" si="8"/>
        <v>12183</v>
      </c>
      <c r="Q13" s="166">
        <v>11538</v>
      </c>
      <c r="R13" s="166">
        <v>645</v>
      </c>
    </row>
    <row r="14" spans="1:18" ht="33.75" customHeight="1">
      <c r="A14" s="138">
        <v>5</v>
      </c>
      <c r="B14" s="139" t="s">
        <v>357</v>
      </c>
      <c r="C14" s="158">
        <f t="shared" si="1"/>
        <v>32210.39999999999</v>
      </c>
      <c r="D14" s="159">
        <v>30676.39999999999</v>
      </c>
      <c r="E14" s="159">
        <v>1534</v>
      </c>
      <c r="F14" s="158">
        <f t="shared" si="2"/>
        <v>21665.6</v>
      </c>
      <c r="G14" s="158">
        <f t="shared" si="3"/>
        <v>20633.6</v>
      </c>
      <c r="H14" s="159">
        <v>18959.6</v>
      </c>
      <c r="I14" s="159">
        <v>1674</v>
      </c>
      <c r="J14" s="158">
        <f t="shared" si="4"/>
        <v>1032</v>
      </c>
      <c r="K14" s="159">
        <v>948</v>
      </c>
      <c r="L14" s="159">
        <v>84</v>
      </c>
      <c r="M14" s="158">
        <f t="shared" si="5"/>
        <v>10544.799999999992</v>
      </c>
      <c r="N14" s="166">
        <f t="shared" si="6"/>
        <v>10042.799999999992</v>
      </c>
      <c r="O14" s="166">
        <f t="shared" si="7"/>
        <v>502</v>
      </c>
      <c r="P14" s="158">
        <f t="shared" si="8"/>
        <v>4406</v>
      </c>
      <c r="Q14" s="166">
        <v>4196</v>
      </c>
      <c r="R14" s="166">
        <v>210</v>
      </c>
    </row>
    <row r="15" spans="1:18" ht="33.75" customHeight="1">
      <c r="A15" s="138">
        <v>6</v>
      </c>
      <c r="B15" s="140" t="s">
        <v>358</v>
      </c>
      <c r="C15" s="158">
        <f t="shared" si="1"/>
        <v>102526.09999999999</v>
      </c>
      <c r="D15" s="159">
        <v>97528.09999999999</v>
      </c>
      <c r="E15" s="159">
        <v>4998</v>
      </c>
      <c r="F15" s="158">
        <f t="shared" si="2"/>
        <v>28693.7</v>
      </c>
      <c r="G15" s="158">
        <f t="shared" si="3"/>
        <v>27229.7</v>
      </c>
      <c r="H15" s="159">
        <v>15512.400000000001</v>
      </c>
      <c r="I15" s="159">
        <v>11717.3</v>
      </c>
      <c r="J15" s="158">
        <f t="shared" si="4"/>
        <v>1464</v>
      </c>
      <c r="K15" s="159">
        <v>875</v>
      </c>
      <c r="L15" s="159">
        <v>589</v>
      </c>
      <c r="M15" s="158">
        <f t="shared" si="5"/>
        <v>73832.4</v>
      </c>
      <c r="N15" s="166">
        <f t="shared" si="6"/>
        <v>70298.4</v>
      </c>
      <c r="O15" s="166">
        <f t="shared" si="7"/>
        <v>3534</v>
      </c>
      <c r="P15" s="158">
        <f t="shared" si="8"/>
        <v>30874</v>
      </c>
      <c r="Q15" s="166">
        <v>29369</v>
      </c>
      <c r="R15" s="166">
        <v>1505</v>
      </c>
    </row>
    <row r="16" spans="1:18" ht="33.75" customHeight="1">
      <c r="A16" s="138">
        <v>7</v>
      </c>
      <c r="B16" s="141" t="s">
        <v>359</v>
      </c>
      <c r="C16" s="158">
        <f t="shared" si="1"/>
        <v>27720.199999999993</v>
      </c>
      <c r="D16" s="160">
        <v>26328.199999999993</v>
      </c>
      <c r="E16" s="160">
        <v>1392</v>
      </c>
      <c r="F16" s="158">
        <f t="shared" si="2"/>
        <v>25072.499999999996</v>
      </c>
      <c r="G16" s="158">
        <f t="shared" si="3"/>
        <v>23817.499999999996</v>
      </c>
      <c r="H16" s="160">
        <v>23398.999999999996</v>
      </c>
      <c r="I16" s="160">
        <v>418.5</v>
      </c>
      <c r="J16" s="158">
        <f t="shared" si="4"/>
        <v>1255</v>
      </c>
      <c r="K16" s="160">
        <v>1234</v>
      </c>
      <c r="L16" s="160">
        <v>21</v>
      </c>
      <c r="M16" s="158">
        <f t="shared" si="5"/>
        <v>2647.699999999997</v>
      </c>
      <c r="N16" s="166">
        <f t="shared" si="6"/>
        <v>2510.699999999997</v>
      </c>
      <c r="O16" s="166">
        <f t="shared" si="7"/>
        <v>137</v>
      </c>
      <c r="P16" s="158">
        <f t="shared" si="8"/>
        <v>1104</v>
      </c>
      <c r="Q16" s="166">
        <v>1049</v>
      </c>
      <c r="R16" s="166">
        <v>55</v>
      </c>
    </row>
    <row r="17" spans="1:18" ht="33.75" customHeight="1">
      <c r="A17" s="138">
        <v>8</v>
      </c>
      <c r="B17" s="141" t="s">
        <v>360</v>
      </c>
      <c r="C17" s="158">
        <f t="shared" si="1"/>
        <v>7058.2</v>
      </c>
      <c r="D17" s="160">
        <v>6720.2</v>
      </c>
      <c r="E17" s="160">
        <v>338</v>
      </c>
      <c r="F17" s="158">
        <f t="shared" si="2"/>
        <v>1784.8</v>
      </c>
      <c r="G17" s="158">
        <f t="shared" si="3"/>
        <v>1698.8</v>
      </c>
      <c r="H17" s="160">
        <v>861.8</v>
      </c>
      <c r="I17" s="160">
        <v>837</v>
      </c>
      <c r="J17" s="158">
        <f t="shared" si="4"/>
        <v>86</v>
      </c>
      <c r="K17" s="160">
        <v>44</v>
      </c>
      <c r="L17" s="160">
        <v>42</v>
      </c>
      <c r="M17" s="158">
        <f t="shared" si="5"/>
        <v>5273.4</v>
      </c>
      <c r="N17" s="166">
        <f t="shared" si="6"/>
        <v>5021.4</v>
      </c>
      <c r="O17" s="166">
        <f t="shared" si="7"/>
        <v>252</v>
      </c>
      <c r="P17" s="158">
        <f t="shared" si="8"/>
        <v>2204</v>
      </c>
      <c r="Q17" s="166">
        <v>2098</v>
      </c>
      <c r="R17" s="166">
        <v>106</v>
      </c>
    </row>
  </sheetData>
  <sheetProtection/>
  <mergeCells count="23">
    <mergeCell ref="P5:R6"/>
    <mergeCell ref="P7:P8"/>
    <mergeCell ref="Q7:Q8"/>
    <mergeCell ref="R7:R8"/>
    <mergeCell ref="G6:L6"/>
    <mergeCell ref="M7:M8"/>
    <mergeCell ref="A1:B1"/>
    <mergeCell ref="A3:L3"/>
    <mergeCell ref="K4:L4"/>
    <mergeCell ref="A5:A8"/>
    <mergeCell ref="B5:B8"/>
    <mergeCell ref="G7:I7"/>
    <mergeCell ref="J7:L7"/>
    <mergeCell ref="C7:C8"/>
    <mergeCell ref="D7:D8"/>
    <mergeCell ref="E7:E8"/>
    <mergeCell ref="A2:O2"/>
    <mergeCell ref="C5:E6"/>
    <mergeCell ref="F6:F8"/>
    <mergeCell ref="N7:N8"/>
    <mergeCell ref="O7:O8"/>
    <mergeCell ref="F5:L5"/>
    <mergeCell ref="M5:O6"/>
  </mergeCells>
  <printOptions/>
  <pageMargins left="0.7" right="0.7" top="0.75" bottom="0.75" header="0.3" footer="0.3"/>
  <pageSetup fitToHeight="0" fitToWidth="1" horizontalDpi="600" verticalDpi="600" orientation="landscape" paperSize="9" scale="54" r:id="rId1"/>
</worksheet>
</file>

<file path=xl/worksheets/sheet7.xml><?xml version="1.0" encoding="utf-8"?>
<worksheet xmlns="http://schemas.openxmlformats.org/spreadsheetml/2006/main" xmlns:r="http://schemas.openxmlformats.org/officeDocument/2006/relationships">
  <dimension ref="A1:BD304"/>
  <sheetViews>
    <sheetView zoomScale="70" zoomScaleNormal="70" zoomScalePageLayoutView="0" workbookViewId="0" topLeftCell="A10">
      <selection activeCell="AB21" sqref="AB21"/>
    </sheetView>
  </sheetViews>
  <sheetFormatPr defaultColWidth="9.140625" defaultRowHeight="15"/>
  <cols>
    <col min="1" max="1" width="5.140625" style="258" customWidth="1"/>
    <col min="2" max="2" width="29.28125" style="259" customWidth="1"/>
    <col min="3" max="4" width="8.57421875" style="259" hidden="1" customWidth="1"/>
    <col min="5" max="7" width="8.28125" style="260" hidden="1" customWidth="1"/>
    <col min="8" max="8" width="13.00390625" style="260" customWidth="1"/>
    <col min="9" max="9" width="11.57421875" style="261" customWidth="1"/>
    <col min="10" max="10" width="10.28125" style="261" customWidth="1"/>
    <col min="11" max="11" width="9.7109375" style="261" customWidth="1"/>
    <col min="12" max="12" width="9.28125" style="261" customWidth="1"/>
    <col min="13" max="13" width="11.00390625" style="261" customWidth="1"/>
    <col min="14" max="14" width="10.8515625" style="261" customWidth="1"/>
    <col min="15" max="15" width="9.140625" style="261" customWidth="1"/>
    <col min="16" max="16" width="9.28125" style="261" hidden="1" customWidth="1"/>
    <col min="17" max="17" width="9.00390625" style="261" hidden="1" customWidth="1"/>
    <col min="18" max="18" width="10.28125" style="261" hidden="1" customWidth="1"/>
    <col min="19" max="19" width="9.00390625" style="261" hidden="1" customWidth="1"/>
    <col min="20" max="20" width="9.28125" style="261" hidden="1" customWidth="1"/>
    <col min="21" max="21" width="10.140625" style="261" hidden="1" customWidth="1"/>
    <col min="22" max="22" width="12.00390625" style="261" hidden="1" customWidth="1"/>
    <col min="23" max="23" width="9.28125" style="261" hidden="1" customWidth="1"/>
    <col min="24" max="24" width="11.00390625" style="261" hidden="1" customWidth="1"/>
    <col min="25" max="25" width="11.8515625" style="261" customWidth="1"/>
    <col min="26" max="26" width="10.00390625" style="261" customWidth="1"/>
    <col min="27" max="27" width="11.00390625" style="261" customWidth="1"/>
    <col min="28" max="28" width="9.7109375" style="261" customWidth="1"/>
    <col min="29" max="29" width="11.28125" style="261" customWidth="1"/>
    <col min="30" max="31" width="10.57421875" style="261" customWidth="1"/>
    <col min="32" max="32" width="10.57421875" style="261" hidden="1" customWidth="1"/>
    <col min="33" max="33" width="9.7109375" style="261" hidden="1" customWidth="1"/>
    <col min="34" max="37" width="11.28125" style="261" customWidth="1"/>
    <col min="38" max="38" width="12.421875" style="261" customWidth="1"/>
    <col min="39" max="39" width="7.7109375" style="261" hidden="1" customWidth="1"/>
    <col min="40" max="40" width="11.140625" style="261" hidden="1" customWidth="1"/>
    <col min="41" max="41" width="9.57421875" style="261" hidden="1" customWidth="1"/>
    <col min="42" max="42" width="13.28125" style="261" customWidth="1"/>
    <col min="43" max="43" width="13.28125" style="258" customWidth="1"/>
    <col min="44" max="44" width="8.00390625" style="261" customWidth="1"/>
    <col min="45" max="16384" width="9.140625" style="251" customWidth="1"/>
  </cols>
  <sheetData>
    <row r="1" spans="1:44" s="250" customFormat="1" ht="20.25">
      <c r="A1" s="394" t="s">
        <v>388</v>
      </c>
      <c r="B1" s="394"/>
      <c r="C1" s="394"/>
      <c r="D1" s="394"/>
      <c r="E1" s="394"/>
      <c r="F1" s="394"/>
      <c r="G1" s="394"/>
      <c r="H1" s="394"/>
      <c r="I1" s="394"/>
      <c r="J1" s="394"/>
      <c r="K1" s="394"/>
      <c r="L1" s="394"/>
      <c r="M1" s="394"/>
      <c r="N1" s="394"/>
      <c r="O1" s="394"/>
      <c r="P1" s="394"/>
      <c r="Q1" s="394"/>
      <c r="R1" s="394"/>
      <c r="S1" s="394"/>
      <c r="T1" s="394"/>
      <c r="U1" s="394"/>
      <c r="V1" s="394"/>
      <c r="W1" s="394"/>
      <c r="X1" s="394"/>
      <c r="Y1" s="394"/>
      <c r="Z1" s="394"/>
      <c r="AA1" s="394"/>
      <c r="AB1" s="394"/>
      <c r="AC1" s="394"/>
      <c r="AD1" s="394"/>
      <c r="AE1" s="394"/>
      <c r="AF1" s="394"/>
      <c r="AG1" s="394"/>
      <c r="AH1" s="394"/>
      <c r="AI1" s="394"/>
      <c r="AJ1" s="394"/>
      <c r="AK1" s="394"/>
      <c r="AL1" s="394"/>
      <c r="AM1" s="394"/>
      <c r="AN1" s="394"/>
      <c r="AO1" s="394"/>
      <c r="AP1" s="394"/>
      <c r="AQ1" s="394"/>
      <c r="AR1" s="394"/>
    </row>
    <row r="2" spans="1:44" ht="45" customHeight="1">
      <c r="A2" s="394" t="s">
        <v>429</v>
      </c>
      <c r="B2" s="394"/>
      <c r="C2" s="394"/>
      <c r="D2" s="394"/>
      <c r="E2" s="394"/>
      <c r="F2" s="394"/>
      <c r="G2" s="394"/>
      <c r="H2" s="394"/>
      <c r="I2" s="394"/>
      <c r="J2" s="394"/>
      <c r="K2" s="394"/>
      <c r="L2" s="394"/>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4"/>
      <c r="AM2" s="394"/>
      <c r="AN2" s="394"/>
      <c r="AO2" s="394"/>
      <c r="AP2" s="394"/>
      <c r="AQ2" s="394"/>
      <c r="AR2" s="394"/>
    </row>
    <row r="3" spans="1:44" s="252" customFormat="1" ht="30" customHeight="1">
      <c r="A3" s="395" t="s">
        <v>0</v>
      </c>
      <c r="B3" s="395"/>
      <c r="C3" s="395"/>
      <c r="D3" s="395"/>
      <c r="E3" s="395"/>
      <c r="F3" s="395"/>
      <c r="G3" s="395"/>
      <c r="H3" s="395"/>
      <c r="I3" s="395"/>
      <c r="J3" s="395"/>
      <c r="K3" s="395"/>
      <c r="L3" s="395"/>
      <c r="M3" s="395"/>
      <c r="N3" s="395"/>
      <c r="O3" s="395"/>
      <c r="P3" s="395"/>
      <c r="Q3" s="395"/>
      <c r="R3" s="395"/>
      <c r="S3" s="395"/>
      <c r="T3" s="395"/>
      <c r="U3" s="395"/>
      <c r="V3" s="395"/>
      <c r="W3" s="395"/>
      <c r="X3" s="395"/>
      <c r="Y3" s="395"/>
      <c r="Z3" s="395"/>
      <c r="AA3" s="395"/>
      <c r="AB3" s="395"/>
      <c r="AC3" s="395"/>
      <c r="AD3" s="395"/>
      <c r="AE3" s="395"/>
      <c r="AF3" s="395"/>
      <c r="AG3" s="395"/>
      <c r="AH3" s="395"/>
      <c r="AI3" s="395"/>
      <c r="AJ3" s="395"/>
      <c r="AK3" s="395"/>
      <c r="AL3" s="395"/>
      <c r="AM3" s="395"/>
      <c r="AN3" s="395"/>
      <c r="AO3" s="395"/>
      <c r="AP3" s="395"/>
      <c r="AQ3" s="395"/>
      <c r="AR3" s="395"/>
    </row>
    <row r="4" spans="1:44" s="253" customFormat="1" ht="18.75" customHeight="1">
      <c r="A4" s="469" t="s">
        <v>10</v>
      </c>
      <c r="B4" s="469" t="s">
        <v>6</v>
      </c>
      <c r="C4" s="469" t="s">
        <v>389</v>
      </c>
      <c r="D4" s="469" t="s">
        <v>390</v>
      </c>
      <c r="E4" s="469" t="s">
        <v>19</v>
      </c>
      <c r="F4" s="469" t="s">
        <v>391</v>
      </c>
      <c r="G4" s="469" t="s">
        <v>20</v>
      </c>
      <c r="H4" s="478" t="s">
        <v>11</v>
      </c>
      <c r="I4" s="479"/>
      <c r="J4" s="479"/>
      <c r="K4" s="479"/>
      <c r="L4" s="479"/>
      <c r="M4" s="479"/>
      <c r="N4" s="479"/>
      <c r="O4" s="480"/>
      <c r="P4" s="475" t="s">
        <v>350</v>
      </c>
      <c r="Q4" s="476"/>
      <c r="R4" s="476"/>
      <c r="S4" s="476"/>
      <c r="T4" s="476"/>
      <c r="U4" s="476"/>
      <c r="V4" s="476"/>
      <c r="W4" s="476"/>
      <c r="X4" s="477"/>
      <c r="Y4" s="481" t="s">
        <v>392</v>
      </c>
      <c r="Z4" s="482"/>
      <c r="AA4" s="482"/>
      <c r="AB4" s="482"/>
      <c r="AC4" s="482"/>
      <c r="AD4" s="482"/>
      <c r="AE4" s="482"/>
      <c r="AF4" s="482"/>
      <c r="AG4" s="482"/>
      <c r="AH4" s="482"/>
      <c r="AI4" s="482"/>
      <c r="AJ4" s="482"/>
      <c r="AK4" s="483"/>
      <c r="AL4" s="481" t="s">
        <v>393</v>
      </c>
      <c r="AM4" s="482"/>
      <c r="AN4" s="482"/>
      <c r="AO4" s="482"/>
      <c r="AP4" s="483"/>
      <c r="AQ4" s="469" t="s">
        <v>53</v>
      </c>
      <c r="AR4" s="469" t="s">
        <v>12</v>
      </c>
    </row>
    <row r="5" spans="1:44" s="253" customFormat="1" ht="46.5" customHeight="1">
      <c r="A5" s="470"/>
      <c r="B5" s="470"/>
      <c r="C5" s="470"/>
      <c r="D5" s="470"/>
      <c r="E5" s="470"/>
      <c r="F5" s="470"/>
      <c r="G5" s="470"/>
      <c r="H5" s="472" t="s">
        <v>13</v>
      </c>
      <c r="I5" s="478" t="s">
        <v>14</v>
      </c>
      <c r="J5" s="479"/>
      <c r="K5" s="479"/>
      <c r="L5" s="479"/>
      <c r="M5" s="479"/>
      <c r="N5" s="479"/>
      <c r="O5" s="480"/>
      <c r="P5" s="475" t="s">
        <v>394</v>
      </c>
      <c r="Q5" s="476"/>
      <c r="R5" s="477"/>
      <c r="S5" s="475" t="s">
        <v>395</v>
      </c>
      <c r="T5" s="476"/>
      <c r="U5" s="477"/>
      <c r="V5" s="475" t="s">
        <v>396</v>
      </c>
      <c r="W5" s="476"/>
      <c r="X5" s="477"/>
      <c r="Y5" s="475" t="s">
        <v>397</v>
      </c>
      <c r="Z5" s="476"/>
      <c r="AA5" s="476"/>
      <c r="AB5" s="476"/>
      <c r="AC5" s="477"/>
      <c r="AD5" s="475" t="s">
        <v>398</v>
      </c>
      <c r="AE5" s="476"/>
      <c r="AF5" s="476"/>
      <c r="AG5" s="476"/>
      <c r="AH5" s="477"/>
      <c r="AI5" s="475" t="s">
        <v>430</v>
      </c>
      <c r="AJ5" s="476"/>
      <c r="AK5" s="477"/>
      <c r="AL5" s="487"/>
      <c r="AM5" s="488"/>
      <c r="AN5" s="488"/>
      <c r="AO5" s="488"/>
      <c r="AP5" s="489"/>
      <c r="AQ5" s="470"/>
      <c r="AR5" s="470"/>
    </row>
    <row r="6" spans="1:44" s="253" customFormat="1" ht="30.75" customHeight="1">
      <c r="A6" s="470"/>
      <c r="B6" s="470"/>
      <c r="C6" s="470"/>
      <c r="D6" s="470"/>
      <c r="E6" s="470"/>
      <c r="F6" s="470"/>
      <c r="G6" s="470"/>
      <c r="H6" s="473"/>
      <c r="I6" s="472" t="s">
        <v>1</v>
      </c>
      <c r="J6" s="490" t="s">
        <v>3</v>
      </c>
      <c r="K6" s="502"/>
      <c r="L6" s="502"/>
      <c r="M6" s="502"/>
      <c r="N6" s="502"/>
      <c r="O6" s="491"/>
      <c r="P6" s="472" t="s">
        <v>15</v>
      </c>
      <c r="Q6" s="490" t="s">
        <v>3</v>
      </c>
      <c r="R6" s="491"/>
      <c r="S6" s="472" t="s">
        <v>15</v>
      </c>
      <c r="T6" s="490" t="s">
        <v>3</v>
      </c>
      <c r="U6" s="491"/>
      <c r="V6" s="472" t="s">
        <v>15</v>
      </c>
      <c r="W6" s="490" t="s">
        <v>3</v>
      </c>
      <c r="X6" s="491"/>
      <c r="Y6" s="472" t="s">
        <v>15</v>
      </c>
      <c r="Z6" s="503" t="s">
        <v>3</v>
      </c>
      <c r="AA6" s="504"/>
      <c r="AB6" s="504"/>
      <c r="AC6" s="505"/>
      <c r="AD6" s="472" t="s">
        <v>15</v>
      </c>
      <c r="AE6" s="503" t="s">
        <v>3</v>
      </c>
      <c r="AF6" s="504"/>
      <c r="AG6" s="504"/>
      <c r="AH6" s="505"/>
      <c r="AI6" s="498" t="s">
        <v>15</v>
      </c>
      <c r="AJ6" s="399" t="s">
        <v>55</v>
      </c>
      <c r="AK6" s="399"/>
      <c r="AL6" s="472" t="s">
        <v>15</v>
      </c>
      <c r="AM6" s="490" t="s">
        <v>3</v>
      </c>
      <c r="AN6" s="502"/>
      <c r="AO6" s="502"/>
      <c r="AP6" s="491"/>
      <c r="AQ6" s="470"/>
      <c r="AR6" s="470"/>
    </row>
    <row r="7" spans="1:44" s="253" customFormat="1" ht="31.5" customHeight="1">
      <c r="A7" s="470"/>
      <c r="B7" s="470"/>
      <c r="C7" s="470"/>
      <c r="D7" s="470"/>
      <c r="E7" s="470"/>
      <c r="F7" s="470"/>
      <c r="G7" s="470"/>
      <c r="H7" s="473"/>
      <c r="I7" s="473"/>
      <c r="J7" s="481" t="s">
        <v>28</v>
      </c>
      <c r="K7" s="483"/>
      <c r="L7" s="492" t="s">
        <v>27</v>
      </c>
      <c r="M7" s="493"/>
      <c r="N7" s="493"/>
      <c r="O7" s="494"/>
      <c r="P7" s="473"/>
      <c r="Q7" s="469" t="s">
        <v>399</v>
      </c>
      <c r="R7" s="472" t="s">
        <v>387</v>
      </c>
      <c r="S7" s="473"/>
      <c r="T7" s="469" t="s">
        <v>399</v>
      </c>
      <c r="U7" s="472" t="s">
        <v>400</v>
      </c>
      <c r="V7" s="473"/>
      <c r="W7" s="469" t="s">
        <v>399</v>
      </c>
      <c r="X7" s="472" t="s">
        <v>400</v>
      </c>
      <c r="Y7" s="473"/>
      <c r="Z7" s="475" t="s">
        <v>25</v>
      </c>
      <c r="AA7" s="476"/>
      <c r="AB7" s="477"/>
      <c r="AC7" s="472" t="s">
        <v>26</v>
      </c>
      <c r="AD7" s="473"/>
      <c r="AE7" s="481" t="s">
        <v>25</v>
      </c>
      <c r="AF7" s="482"/>
      <c r="AG7" s="483"/>
      <c r="AH7" s="472" t="s">
        <v>26</v>
      </c>
      <c r="AI7" s="499"/>
      <c r="AJ7" s="397" t="str">
        <f>AE7</f>
        <v>Vốn đối ứng nguồn NSTW</v>
      </c>
      <c r="AK7" s="397" t="str">
        <f>AH7</f>
        <v>Vốn nước ngoài (vốn NSTW) </v>
      </c>
      <c r="AL7" s="473"/>
      <c r="AM7" s="475" t="s">
        <v>25</v>
      </c>
      <c r="AN7" s="476"/>
      <c r="AO7" s="477"/>
      <c r="AP7" s="472" t="s">
        <v>26</v>
      </c>
      <c r="AQ7" s="470"/>
      <c r="AR7" s="470"/>
    </row>
    <row r="8" spans="1:44" s="253" customFormat="1" ht="31.5" customHeight="1">
      <c r="A8" s="470"/>
      <c r="B8" s="470"/>
      <c r="C8" s="470"/>
      <c r="D8" s="470"/>
      <c r="E8" s="470"/>
      <c r="F8" s="470"/>
      <c r="G8" s="470"/>
      <c r="H8" s="473"/>
      <c r="I8" s="473"/>
      <c r="J8" s="487"/>
      <c r="K8" s="489"/>
      <c r="L8" s="495"/>
      <c r="M8" s="496"/>
      <c r="N8" s="496"/>
      <c r="O8" s="497"/>
      <c r="P8" s="473"/>
      <c r="Q8" s="470"/>
      <c r="R8" s="473"/>
      <c r="S8" s="473"/>
      <c r="T8" s="470"/>
      <c r="U8" s="473"/>
      <c r="V8" s="473"/>
      <c r="W8" s="470"/>
      <c r="X8" s="473"/>
      <c r="Y8" s="473"/>
      <c r="Z8" s="472" t="s">
        <v>15</v>
      </c>
      <c r="AA8" s="478" t="s">
        <v>4</v>
      </c>
      <c r="AB8" s="480"/>
      <c r="AC8" s="473"/>
      <c r="AD8" s="473"/>
      <c r="AE8" s="484"/>
      <c r="AF8" s="485"/>
      <c r="AG8" s="486"/>
      <c r="AH8" s="473"/>
      <c r="AI8" s="499"/>
      <c r="AJ8" s="397"/>
      <c r="AK8" s="397"/>
      <c r="AL8" s="473"/>
      <c r="AM8" s="472" t="s">
        <v>15</v>
      </c>
      <c r="AN8" s="478" t="s">
        <v>4</v>
      </c>
      <c r="AO8" s="480"/>
      <c r="AP8" s="473"/>
      <c r="AQ8" s="470"/>
      <c r="AR8" s="470"/>
    </row>
    <row r="9" spans="1:44" s="253" customFormat="1" ht="33" customHeight="1">
      <c r="A9" s="470"/>
      <c r="B9" s="470"/>
      <c r="C9" s="470"/>
      <c r="D9" s="470"/>
      <c r="E9" s="470"/>
      <c r="F9" s="470"/>
      <c r="G9" s="470"/>
      <c r="H9" s="473"/>
      <c r="I9" s="473"/>
      <c r="J9" s="472" t="s">
        <v>15</v>
      </c>
      <c r="K9" s="472" t="s">
        <v>24</v>
      </c>
      <c r="L9" s="472" t="s">
        <v>21</v>
      </c>
      <c r="M9" s="478" t="s">
        <v>5</v>
      </c>
      <c r="N9" s="479"/>
      <c r="O9" s="480"/>
      <c r="P9" s="473"/>
      <c r="Q9" s="470"/>
      <c r="R9" s="473"/>
      <c r="S9" s="473"/>
      <c r="T9" s="470"/>
      <c r="U9" s="473"/>
      <c r="V9" s="473"/>
      <c r="W9" s="470"/>
      <c r="X9" s="473"/>
      <c r="Y9" s="473"/>
      <c r="Z9" s="473"/>
      <c r="AA9" s="498" t="s">
        <v>401</v>
      </c>
      <c r="AB9" s="498" t="s">
        <v>376</v>
      </c>
      <c r="AC9" s="473"/>
      <c r="AD9" s="473"/>
      <c r="AE9" s="484"/>
      <c r="AF9" s="485"/>
      <c r="AG9" s="486"/>
      <c r="AH9" s="473"/>
      <c r="AI9" s="499"/>
      <c r="AJ9" s="397"/>
      <c r="AK9" s="397"/>
      <c r="AL9" s="473"/>
      <c r="AM9" s="473"/>
      <c r="AN9" s="498" t="s">
        <v>401</v>
      </c>
      <c r="AO9" s="498" t="s">
        <v>376</v>
      </c>
      <c r="AP9" s="473"/>
      <c r="AQ9" s="470"/>
      <c r="AR9" s="470"/>
    </row>
    <row r="10" spans="1:44" s="253" customFormat="1" ht="33" customHeight="1">
      <c r="A10" s="470"/>
      <c r="B10" s="470"/>
      <c r="C10" s="470"/>
      <c r="D10" s="470"/>
      <c r="E10" s="470"/>
      <c r="F10" s="470"/>
      <c r="G10" s="470"/>
      <c r="H10" s="473"/>
      <c r="I10" s="473"/>
      <c r="J10" s="473"/>
      <c r="K10" s="473"/>
      <c r="L10" s="473"/>
      <c r="M10" s="472" t="s">
        <v>15</v>
      </c>
      <c r="N10" s="478" t="s">
        <v>4</v>
      </c>
      <c r="O10" s="480"/>
      <c r="P10" s="473"/>
      <c r="Q10" s="470"/>
      <c r="R10" s="473"/>
      <c r="S10" s="473"/>
      <c r="T10" s="470"/>
      <c r="U10" s="473"/>
      <c r="V10" s="473"/>
      <c r="W10" s="470"/>
      <c r="X10" s="473"/>
      <c r="Y10" s="473"/>
      <c r="Z10" s="473"/>
      <c r="AA10" s="499"/>
      <c r="AB10" s="499"/>
      <c r="AC10" s="473"/>
      <c r="AD10" s="473"/>
      <c r="AE10" s="484"/>
      <c r="AF10" s="485"/>
      <c r="AG10" s="486"/>
      <c r="AH10" s="473"/>
      <c r="AI10" s="499"/>
      <c r="AJ10" s="397"/>
      <c r="AK10" s="397"/>
      <c r="AL10" s="473"/>
      <c r="AM10" s="473"/>
      <c r="AN10" s="499"/>
      <c r="AO10" s="499"/>
      <c r="AP10" s="473"/>
      <c r="AQ10" s="470"/>
      <c r="AR10" s="470"/>
    </row>
    <row r="11" spans="1:44" s="253" customFormat="1" ht="33.75" customHeight="1">
      <c r="A11" s="471"/>
      <c r="B11" s="471"/>
      <c r="C11" s="471"/>
      <c r="D11" s="471"/>
      <c r="E11" s="471"/>
      <c r="F11" s="471"/>
      <c r="G11" s="471"/>
      <c r="H11" s="474"/>
      <c r="I11" s="474"/>
      <c r="J11" s="474"/>
      <c r="K11" s="474"/>
      <c r="L11" s="474"/>
      <c r="M11" s="474"/>
      <c r="N11" s="13" t="s">
        <v>22</v>
      </c>
      <c r="O11" s="13" t="s">
        <v>23</v>
      </c>
      <c r="P11" s="474"/>
      <c r="Q11" s="471"/>
      <c r="R11" s="474"/>
      <c r="S11" s="474"/>
      <c r="T11" s="471"/>
      <c r="U11" s="474"/>
      <c r="V11" s="474"/>
      <c r="W11" s="471"/>
      <c r="X11" s="474"/>
      <c r="Y11" s="474"/>
      <c r="Z11" s="474"/>
      <c r="AA11" s="500"/>
      <c r="AB11" s="500"/>
      <c r="AC11" s="474"/>
      <c r="AD11" s="474"/>
      <c r="AE11" s="487"/>
      <c r="AF11" s="488"/>
      <c r="AG11" s="489"/>
      <c r="AH11" s="474"/>
      <c r="AI11" s="500"/>
      <c r="AJ11" s="397"/>
      <c r="AK11" s="397"/>
      <c r="AL11" s="474"/>
      <c r="AM11" s="474"/>
      <c r="AN11" s="500"/>
      <c r="AO11" s="500"/>
      <c r="AP11" s="474"/>
      <c r="AQ11" s="471"/>
      <c r="AR11" s="471"/>
    </row>
    <row r="12" spans="1:44" s="255" customFormat="1" ht="30.75" customHeight="1">
      <c r="A12" s="254" t="s">
        <v>7</v>
      </c>
      <c r="B12" s="254" t="s">
        <v>384</v>
      </c>
      <c r="C12" s="254" t="s">
        <v>386</v>
      </c>
      <c r="D12" s="254" t="s">
        <v>402</v>
      </c>
      <c r="E12" s="254" t="s">
        <v>403</v>
      </c>
      <c r="F12" s="254" t="s">
        <v>385</v>
      </c>
      <c r="G12" s="254" t="s">
        <v>404</v>
      </c>
      <c r="H12" s="254">
        <v>3</v>
      </c>
      <c r="I12" s="254">
        <v>4</v>
      </c>
      <c r="J12" s="254">
        <v>5</v>
      </c>
      <c r="K12" s="254">
        <v>6</v>
      </c>
      <c r="L12" s="254">
        <v>7</v>
      </c>
      <c r="M12" s="254">
        <v>8</v>
      </c>
      <c r="N12" s="254">
        <v>9</v>
      </c>
      <c r="O12" s="254">
        <v>10</v>
      </c>
      <c r="P12" s="254" t="s">
        <v>405</v>
      </c>
      <c r="Q12" s="254" t="s">
        <v>406</v>
      </c>
      <c r="R12" s="254" t="s">
        <v>407</v>
      </c>
      <c r="S12" s="254" t="s">
        <v>408</v>
      </c>
      <c r="T12" s="254" t="s">
        <v>409</v>
      </c>
      <c r="U12" s="254" t="s">
        <v>410</v>
      </c>
      <c r="V12" s="254" t="s">
        <v>411</v>
      </c>
      <c r="W12" s="254" t="s">
        <v>412</v>
      </c>
      <c r="X12" s="254" t="s">
        <v>413</v>
      </c>
      <c r="Y12" s="254">
        <v>11</v>
      </c>
      <c r="Z12" s="254">
        <v>12</v>
      </c>
      <c r="AA12" s="254">
        <v>13</v>
      </c>
      <c r="AB12" s="254">
        <v>14</v>
      </c>
      <c r="AC12" s="254">
        <v>15</v>
      </c>
      <c r="AD12" s="254">
        <v>16</v>
      </c>
      <c r="AE12" s="254">
        <v>17</v>
      </c>
      <c r="AF12" s="254">
        <v>19</v>
      </c>
      <c r="AG12" s="254">
        <v>20</v>
      </c>
      <c r="AH12" s="254">
        <v>18</v>
      </c>
      <c r="AI12" s="254">
        <v>19</v>
      </c>
      <c r="AJ12" s="254">
        <v>20</v>
      </c>
      <c r="AK12" s="254">
        <v>21</v>
      </c>
      <c r="AL12" s="254">
        <v>22</v>
      </c>
      <c r="AM12" s="254">
        <v>23</v>
      </c>
      <c r="AN12" s="254">
        <v>24</v>
      </c>
      <c r="AO12" s="254">
        <v>25</v>
      </c>
      <c r="AP12" s="254">
        <v>23</v>
      </c>
      <c r="AQ12" s="254">
        <v>24</v>
      </c>
      <c r="AR12" s="254">
        <v>25</v>
      </c>
    </row>
    <row r="13" spans="1:44" s="4" customFormat="1" ht="36.75" customHeight="1">
      <c r="A13" s="298"/>
      <c r="B13" s="501" t="s">
        <v>2</v>
      </c>
      <c r="C13" s="501"/>
      <c r="D13" s="299"/>
      <c r="E13" s="298"/>
      <c r="F13" s="298"/>
      <c r="G13" s="298"/>
      <c r="H13" s="298"/>
      <c r="I13" s="300">
        <f>I14</f>
        <v>2279505</v>
      </c>
      <c r="J13" s="300">
        <f aca="true" t="shared" si="0" ref="J13:AP13">J14</f>
        <v>728752</v>
      </c>
      <c r="K13" s="300">
        <f t="shared" si="0"/>
        <v>179852</v>
      </c>
      <c r="L13" s="300"/>
      <c r="M13" s="300">
        <f t="shared" si="0"/>
        <v>1550303</v>
      </c>
      <c r="N13" s="300">
        <f t="shared" si="0"/>
        <v>1343826.8</v>
      </c>
      <c r="O13" s="300">
        <f t="shared" si="0"/>
        <v>206476.2</v>
      </c>
      <c r="P13" s="300">
        <f t="shared" si="0"/>
        <v>367013</v>
      </c>
      <c r="Q13" s="300">
        <f t="shared" si="0"/>
        <v>23313</v>
      </c>
      <c r="R13" s="300">
        <f t="shared" si="0"/>
        <v>343700</v>
      </c>
      <c r="S13" s="300">
        <f t="shared" si="0"/>
        <v>102481</v>
      </c>
      <c r="T13" s="300">
        <f t="shared" si="0"/>
        <v>23313</v>
      </c>
      <c r="U13" s="300">
        <f t="shared" si="0"/>
        <v>95368</v>
      </c>
      <c r="V13" s="300">
        <f t="shared" si="0"/>
        <v>348732</v>
      </c>
      <c r="W13" s="300">
        <f t="shared" si="0"/>
        <v>21232</v>
      </c>
      <c r="X13" s="300">
        <f t="shared" si="0"/>
        <v>343700</v>
      </c>
      <c r="Y13" s="300">
        <f t="shared" si="0"/>
        <v>1064551</v>
      </c>
      <c r="Z13" s="300">
        <f t="shared" si="0"/>
        <v>111933</v>
      </c>
      <c r="AA13" s="300">
        <f t="shared" si="0"/>
        <v>0</v>
      </c>
      <c r="AB13" s="300">
        <f t="shared" si="0"/>
        <v>0</v>
      </c>
      <c r="AC13" s="300">
        <f t="shared" si="0"/>
        <v>952618</v>
      </c>
      <c r="AD13" s="301">
        <v>856875</v>
      </c>
      <c r="AE13" s="301">
        <v>111933</v>
      </c>
      <c r="AF13" s="301">
        <v>0</v>
      </c>
      <c r="AG13" s="301">
        <v>0</v>
      </c>
      <c r="AH13" s="301">
        <v>744942</v>
      </c>
      <c r="AI13" s="301">
        <f>AI14</f>
        <v>542416</v>
      </c>
      <c r="AJ13" s="301">
        <f>AJ14</f>
        <v>111933</v>
      </c>
      <c r="AK13" s="301">
        <f>AK14</f>
        <v>430483</v>
      </c>
      <c r="AL13" s="300">
        <f t="shared" si="0"/>
        <v>205942</v>
      </c>
      <c r="AM13" s="300">
        <f t="shared" si="0"/>
        <v>0</v>
      </c>
      <c r="AN13" s="300">
        <v>0</v>
      </c>
      <c r="AO13" s="300">
        <f t="shared" si="0"/>
        <v>0</v>
      </c>
      <c r="AP13" s="300">
        <f t="shared" si="0"/>
        <v>205942</v>
      </c>
      <c r="AQ13" s="302"/>
      <c r="AR13" s="303"/>
    </row>
    <row r="14" spans="1:56" s="5" customFormat="1" ht="57.75" customHeight="1">
      <c r="A14" s="304" t="s">
        <v>16</v>
      </c>
      <c r="B14" s="509" t="s">
        <v>414</v>
      </c>
      <c r="C14" s="510"/>
      <c r="D14" s="305"/>
      <c r="E14" s="304"/>
      <c r="F14" s="304"/>
      <c r="G14" s="306"/>
      <c r="H14" s="306"/>
      <c r="I14" s="307">
        <f>I15+I20+I24</f>
        <v>2279505</v>
      </c>
      <c r="J14" s="307">
        <f aca="true" t="shared" si="1" ref="J14:AA14">J15+J20+J24</f>
        <v>728752</v>
      </c>
      <c r="K14" s="307">
        <f t="shared" si="1"/>
        <v>179852</v>
      </c>
      <c r="L14" s="307"/>
      <c r="M14" s="307">
        <f t="shared" si="1"/>
        <v>1550303</v>
      </c>
      <c r="N14" s="307">
        <f t="shared" si="1"/>
        <v>1343826.8</v>
      </c>
      <c r="O14" s="307">
        <f t="shared" si="1"/>
        <v>206476.2</v>
      </c>
      <c r="P14" s="307">
        <f t="shared" si="1"/>
        <v>367013</v>
      </c>
      <c r="Q14" s="307">
        <f t="shared" si="1"/>
        <v>23313</v>
      </c>
      <c r="R14" s="307">
        <f t="shared" si="1"/>
        <v>343700</v>
      </c>
      <c r="S14" s="307">
        <f t="shared" si="1"/>
        <v>102481</v>
      </c>
      <c r="T14" s="307">
        <f t="shared" si="1"/>
        <v>23313</v>
      </c>
      <c r="U14" s="307">
        <f t="shared" si="1"/>
        <v>95368</v>
      </c>
      <c r="V14" s="307">
        <f t="shared" si="1"/>
        <v>348732</v>
      </c>
      <c r="W14" s="307">
        <f t="shared" si="1"/>
        <v>21232</v>
      </c>
      <c r="X14" s="307">
        <f t="shared" si="1"/>
        <v>343700</v>
      </c>
      <c r="Y14" s="307">
        <f t="shared" si="1"/>
        <v>1064551</v>
      </c>
      <c r="Z14" s="307">
        <f t="shared" si="1"/>
        <v>111933</v>
      </c>
      <c r="AA14" s="307">
        <f t="shared" si="1"/>
        <v>0</v>
      </c>
      <c r="AB14" s="307"/>
      <c r="AC14" s="307">
        <f>AC15+AC20+AC24</f>
        <v>952618</v>
      </c>
      <c r="AD14" s="308">
        <v>856875</v>
      </c>
      <c r="AE14" s="308">
        <v>111933</v>
      </c>
      <c r="AF14" s="308">
        <v>0</v>
      </c>
      <c r="AG14" s="308">
        <v>0</v>
      </c>
      <c r="AH14" s="308">
        <v>744942</v>
      </c>
      <c r="AI14" s="308">
        <f>AI15+AI20+AI24</f>
        <v>542416</v>
      </c>
      <c r="AJ14" s="308">
        <f>AJ15+AJ20+AJ24</f>
        <v>111933</v>
      </c>
      <c r="AK14" s="308">
        <f>AK15+AK20+AK24</f>
        <v>430483</v>
      </c>
      <c r="AL14" s="307">
        <f>AL15+AL20+AL24</f>
        <v>205942</v>
      </c>
      <c r="AM14" s="307">
        <f>AM15+AM20+AM24</f>
        <v>0</v>
      </c>
      <c r="AN14" s="307">
        <v>0</v>
      </c>
      <c r="AO14" s="307">
        <f>AO15+AO20+AO24</f>
        <v>0</v>
      </c>
      <c r="AP14" s="307">
        <f>AP15+AP20+AP24</f>
        <v>205942</v>
      </c>
      <c r="AQ14" s="306"/>
      <c r="AR14" s="307"/>
      <c r="AS14" s="4"/>
      <c r="BD14" s="256">
        <f>AN25</f>
        <v>0</v>
      </c>
    </row>
    <row r="15" spans="1:46" s="2" customFormat="1" ht="36.75" customHeight="1">
      <c r="A15" s="309" t="s">
        <v>17</v>
      </c>
      <c r="B15" s="508" t="s">
        <v>30</v>
      </c>
      <c r="C15" s="508"/>
      <c r="D15" s="310"/>
      <c r="E15" s="311"/>
      <c r="F15" s="311"/>
      <c r="G15" s="311"/>
      <c r="H15" s="311"/>
      <c r="I15" s="256">
        <f>I16</f>
        <v>1285721</v>
      </c>
      <c r="J15" s="256">
        <f aca="true" t="shared" si="2" ref="J15:AP15">J16</f>
        <v>332569</v>
      </c>
      <c r="K15" s="256">
        <f t="shared" si="2"/>
        <v>139852</v>
      </c>
      <c r="L15" s="312"/>
      <c r="M15" s="256">
        <f t="shared" si="2"/>
        <v>953152</v>
      </c>
      <c r="N15" s="256">
        <f t="shared" si="2"/>
        <v>857836.8</v>
      </c>
      <c r="O15" s="256">
        <f t="shared" si="2"/>
        <v>95315.2</v>
      </c>
      <c r="P15" s="256">
        <f t="shared" si="2"/>
        <v>207432</v>
      </c>
      <c r="Q15" s="256">
        <f t="shared" si="2"/>
        <v>21232</v>
      </c>
      <c r="R15" s="256">
        <f t="shared" si="2"/>
        <v>186200</v>
      </c>
      <c r="S15" s="313">
        <f t="shared" si="2"/>
        <v>55067</v>
      </c>
      <c r="T15" s="313">
        <f t="shared" si="2"/>
        <v>21232</v>
      </c>
      <c r="U15" s="313">
        <f t="shared" si="2"/>
        <v>50035</v>
      </c>
      <c r="V15" s="256">
        <f t="shared" si="2"/>
        <v>191232</v>
      </c>
      <c r="W15" s="256">
        <f t="shared" si="2"/>
        <v>21232</v>
      </c>
      <c r="X15" s="256">
        <f t="shared" si="2"/>
        <v>186200</v>
      </c>
      <c r="Y15" s="256">
        <f t="shared" si="2"/>
        <v>685586</v>
      </c>
      <c r="Z15" s="256">
        <f t="shared" si="2"/>
        <v>109852</v>
      </c>
      <c r="AA15" s="256">
        <f t="shared" si="2"/>
        <v>0</v>
      </c>
      <c r="AB15" s="256"/>
      <c r="AC15" s="256">
        <f t="shared" si="2"/>
        <v>575734</v>
      </c>
      <c r="AD15" s="314">
        <v>587820</v>
      </c>
      <c r="AE15" s="314">
        <v>109852</v>
      </c>
      <c r="AF15" s="314">
        <v>0</v>
      </c>
      <c r="AG15" s="314">
        <v>0</v>
      </c>
      <c r="AH15" s="314">
        <v>477968</v>
      </c>
      <c r="AI15" s="314">
        <f>AI16</f>
        <v>385418</v>
      </c>
      <c r="AJ15" s="314">
        <f>AJ16</f>
        <v>109852</v>
      </c>
      <c r="AK15" s="314">
        <f>AK16</f>
        <v>275566</v>
      </c>
      <c r="AL15" s="256">
        <f t="shared" si="2"/>
        <v>96449</v>
      </c>
      <c r="AM15" s="256">
        <f t="shared" si="2"/>
        <v>0</v>
      </c>
      <c r="AN15" s="256">
        <v>0</v>
      </c>
      <c r="AO15" s="256"/>
      <c r="AP15" s="256">
        <f t="shared" si="2"/>
        <v>96449</v>
      </c>
      <c r="AQ15" s="312"/>
      <c r="AR15" s="315"/>
      <c r="AS15" s="4"/>
      <c r="AT15" s="8"/>
    </row>
    <row r="16" spans="1:45" s="7" customFormat="1" ht="39.75" customHeight="1">
      <c r="A16" s="309"/>
      <c r="B16" s="506" t="s">
        <v>415</v>
      </c>
      <c r="C16" s="506"/>
      <c r="D16" s="310"/>
      <c r="E16" s="310"/>
      <c r="F16" s="310"/>
      <c r="G16" s="310"/>
      <c r="H16" s="310"/>
      <c r="I16" s="314">
        <f aca="true" t="shared" si="3" ref="I16:AC16">SUM(I18:I19)</f>
        <v>1285721</v>
      </c>
      <c r="J16" s="314">
        <f t="shared" si="3"/>
        <v>332569</v>
      </c>
      <c r="K16" s="314">
        <f t="shared" si="3"/>
        <v>139852</v>
      </c>
      <c r="L16" s="314"/>
      <c r="M16" s="314">
        <f t="shared" si="3"/>
        <v>953152</v>
      </c>
      <c r="N16" s="314">
        <f t="shared" si="3"/>
        <v>857836.8</v>
      </c>
      <c r="O16" s="314">
        <f t="shared" si="3"/>
        <v>95315.2</v>
      </c>
      <c r="P16" s="314">
        <f t="shared" si="3"/>
        <v>207432</v>
      </c>
      <c r="Q16" s="314">
        <f t="shared" si="3"/>
        <v>21232</v>
      </c>
      <c r="R16" s="314">
        <f t="shared" si="3"/>
        <v>186200</v>
      </c>
      <c r="S16" s="314">
        <f t="shared" si="3"/>
        <v>55067</v>
      </c>
      <c r="T16" s="314">
        <f t="shared" si="3"/>
        <v>21232</v>
      </c>
      <c r="U16" s="314">
        <f t="shared" si="3"/>
        <v>50035</v>
      </c>
      <c r="V16" s="314">
        <f t="shared" si="3"/>
        <v>191232</v>
      </c>
      <c r="W16" s="314">
        <f t="shared" si="3"/>
        <v>21232</v>
      </c>
      <c r="X16" s="314">
        <f t="shared" si="3"/>
        <v>186200</v>
      </c>
      <c r="Y16" s="314">
        <f t="shared" si="3"/>
        <v>685586</v>
      </c>
      <c r="Z16" s="314">
        <f t="shared" si="3"/>
        <v>109852</v>
      </c>
      <c r="AA16" s="314">
        <f t="shared" si="3"/>
        <v>0</v>
      </c>
      <c r="AB16" s="314">
        <f t="shared" si="3"/>
        <v>0</v>
      </c>
      <c r="AC16" s="314">
        <f t="shared" si="3"/>
        <v>575734</v>
      </c>
      <c r="AD16" s="314">
        <v>587820</v>
      </c>
      <c r="AE16" s="314">
        <v>109852</v>
      </c>
      <c r="AF16" s="314">
        <v>0</v>
      </c>
      <c r="AG16" s="314">
        <v>0</v>
      </c>
      <c r="AH16" s="314">
        <v>477968</v>
      </c>
      <c r="AI16" s="314">
        <f>AI18</f>
        <v>385418</v>
      </c>
      <c r="AJ16" s="314">
        <f>AJ18</f>
        <v>109852</v>
      </c>
      <c r="AK16" s="314">
        <f>AK18</f>
        <v>275566</v>
      </c>
      <c r="AL16" s="314">
        <f>SUM(AL18:AL19)</f>
        <v>96449</v>
      </c>
      <c r="AM16" s="314">
        <f>SUM(AM18:AM19)</f>
        <v>0</v>
      </c>
      <c r="AN16" s="314">
        <v>0</v>
      </c>
      <c r="AO16" s="314">
        <f>SUM(AO18:AO19)</f>
        <v>0</v>
      </c>
      <c r="AP16" s="314">
        <f>SUM(AP18:AP19)</f>
        <v>96449</v>
      </c>
      <c r="AQ16" s="316"/>
      <c r="AR16" s="317"/>
      <c r="AS16" s="4"/>
    </row>
    <row r="17" spans="1:46" s="1" customFormat="1" ht="24.75" customHeight="1">
      <c r="A17" s="318"/>
      <c r="B17" s="507" t="s">
        <v>8</v>
      </c>
      <c r="C17" s="507"/>
      <c r="D17" s="319"/>
      <c r="E17" s="320"/>
      <c r="F17" s="320"/>
      <c r="G17" s="320"/>
      <c r="H17" s="320"/>
      <c r="I17" s="321"/>
      <c r="J17" s="321"/>
      <c r="K17" s="321"/>
      <c r="L17" s="322"/>
      <c r="M17" s="321"/>
      <c r="N17" s="321"/>
      <c r="O17" s="321"/>
      <c r="P17" s="321"/>
      <c r="Q17" s="321"/>
      <c r="R17" s="321"/>
      <c r="S17" s="321"/>
      <c r="T17" s="321"/>
      <c r="U17" s="321"/>
      <c r="V17" s="321"/>
      <c r="W17" s="321"/>
      <c r="X17" s="321"/>
      <c r="Y17" s="321"/>
      <c r="Z17" s="321"/>
      <c r="AA17" s="321"/>
      <c r="AB17" s="321"/>
      <c r="AC17" s="321"/>
      <c r="AD17" s="323"/>
      <c r="AE17" s="323"/>
      <c r="AF17" s="323"/>
      <c r="AG17" s="323"/>
      <c r="AH17" s="323"/>
      <c r="AI17" s="323"/>
      <c r="AJ17" s="323"/>
      <c r="AK17" s="323"/>
      <c r="AL17" s="321"/>
      <c r="AM17" s="321"/>
      <c r="AN17" s="321"/>
      <c r="AO17" s="321"/>
      <c r="AP17" s="321"/>
      <c r="AQ17" s="322"/>
      <c r="AR17" s="324"/>
      <c r="AS17" s="4"/>
      <c r="AT17" s="6"/>
    </row>
    <row r="18" spans="1:45" s="2" customFormat="1" ht="95.25" customHeight="1">
      <c r="A18" s="309"/>
      <c r="B18" s="325" t="s">
        <v>34</v>
      </c>
      <c r="C18" s="325">
        <v>7641426</v>
      </c>
      <c r="D18" s="320" t="s">
        <v>157</v>
      </c>
      <c r="E18" s="320" t="s">
        <v>35</v>
      </c>
      <c r="F18" s="326" t="s">
        <v>416</v>
      </c>
      <c r="G18" s="327" t="s">
        <v>36</v>
      </c>
      <c r="H18" s="327" t="s">
        <v>37</v>
      </c>
      <c r="I18" s="328">
        <v>1071289</v>
      </c>
      <c r="J18" s="328">
        <v>313939</v>
      </c>
      <c r="K18" s="328">
        <v>139852</v>
      </c>
      <c r="L18" s="329" t="s">
        <v>38</v>
      </c>
      <c r="M18" s="330">
        <v>757350</v>
      </c>
      <c r="N18" s="330">
        <v>681615</v>
      </c>
      <c r="O18" s="330">
        <f>M18-N18</f>
        <v>75735</v>
      </c>
      <c r="P18" s="321">
        <f>Q18+R18</f>
        <v>191232</v>
      </c>
      <c r="Q18" s="321">
        <v>21232</v>
      </c>
      <c r="R18" s="328">
        <v>170000</v>
      </c>
      <c r="S18" s="331">
        <f>T18+U18</f>
        <v>55067</v>
      </c>
      <c r="T18" s="331">
        <v>21232</v>
      </c>
      <c r="U18" s="331">
        <v>33835</v>
      </c>
      <c r="V18" s="328">
        <f>W18+X18</f>
        <v>191232</v>
      </c>
      <c r="W18" s="328">
        <v>21232</v>
      </c>
      <c r="X18" s="328">
        <v>170000</v>
      </c>
      <c r="Y18" s="323">
        <f>Z18+AC18</f>
        <v>635364</v>
      </c>
      <c r="Z18" s="323">
        <v>109852</v>
      </c>
      <c r="AA18" s="332"/>
      <c r="AB18" s="332"/>
      <c r="AC18" s="323">
        <v>525512</v>
      </c>
      <c r="AD18" s="323">
        <v>544197</v>
      </c>
      <c r="AE18" s="323">
        <v>109852</v>
      </c>
      <c r="AF18" s="332"/>
      <c r="AG18" s="332"/>
      <c r="AH18" s="323">
        <v>434345</v>
      </c>
      <c r="AI18" s="323">
        <f>AJ18+AK18</f>
        <v>385418</v>
      </c>
      <c r="AJ18" s="323">
        <f>AE18</f>
        <v>109852</v>
      </c>
      <c r="AK18" s="323">
        <f>11341+'[1]Sheet1'!$J$18+226922</f>
        <v>275566</v>
      </c>
      <c r="AL18" s="323">
        <f>AM18+AP18</f>
        <v>91167</v>
      </c>
      <c r="AM18" s="323"/>
      <c r="AN18" s="323"/>
      <c r="AO18" s="323"/>
      <c r="AP18" s="323">
        <v>91167</v>
      </c>
      <c r="AQ18" s="333" t="str">
        <f>'[2]Biểu 4 ODA'!$AN$20</f>
        <v>Sở Kế hoạch và Đầu tư</v>
      </c>
      <c r="AR18" s="324"/>
      <c r="AS18" s="4"/>
    </row>
    <row r="19" spans="1:45" s="2" customFormat="1" ht="69.75" customHeight="1">
      <c r="A19" s="309"/>
      <c r="B19" s="325" t="s">
        <v>417</v>
      </c>
      <c r="C19" s="325">
        <v>7593697</v>
      </c>
      <c r="D19" s="320" t="s">
        <v>157</v>
      </c>
      <c r="E19" s="320" t="s">
        <v>29</v>
      </c>
      <c r="F19" s="326" t="s">
        <v>418</v>
      </c>
      <c r="G19" s="326" t="s">
        <v>31</v>
      </c>
      <c r="H19" s="327" t="s">
        <v>32</v>
      </c>
      <c r="I19" s="334">
        <v>214432.00000000003</v>
      </c>
      <c r="J19" s="335">
        <v>18630</v>
      </c>
      <c r="K19" s="335">
        <v>0</v>
      </c>
      <c r="L19" s="336" t="s">
        <v>33</v>
      </c>
      <c r="M19" s="335">
        <v>195802.00000000003</v>
      </c>
      <c r="N19" s="335">
        <v>176221.80000000002</v>
      </c>
      <c r="O19" s="335">
        <v>19580.2</v>
      </c>
      <c r="P19" s="321">
        <f>Q19+R19</f>
        <v>16200</v>
      </c>
      <c r="Q19" s="321"/>
      <c r="R19" s="328">
        <v>16200</v>
      </c>
      <c r="S19" s="331"/>
      <c r="T19" s="331"/>
      <c r="U19" s="331">
        <f>V19+X19</f>
        <v>16200</v>
      </c>
      <c r="V19" s="328"/>
      <c r="W19" s="328"/>
      <c r="X19" s="328">
        <v>16200</v>
      </c>
      <c r="Y19" s="323">
        <f>Z19+AC19</f>
        <v>50222</v>
      </c>
      <c r="Z19" s="323"/>
      <c r="AA19" s="332"/>
      <c r="AB19" s="332"/>
      <c r="AC19" s="323">
        <v>50222</v>
      </c>
      <c r="AD19" s="323">
        <v>43623</v>
      </c>
      <c r="AE19" s="323"/>
      <c r="AF19" s="332"/>
      <c r="AG19" s="332"/>
      <c r="AH19" s="323">
        <v>43623</v>
      </c>
      <c r="AI19" s="323">
        <f>AJ19+AK19</f>
        <v>27423</v>
      </c>
      <c r="AJ19" s="323">
        <v>0</v>
      </c>
      <c r="AK19" s="323">
        <f>27423</f>
        <v>27423</v>
      </c>
      <c r="AL19" s="323">
        <f>AM19+AP19</f>
        <v>5282</v>
      </c>
      <c r="AM19" s="323"/>
      <c r="AN19" s="323"/>
      <c r="AO19" s="323"/>
      <c r="AP19" s="323">
        <v>5282</v>
      </c>
      <c r="AQ19" s="333" t="str">
        <f>'[2]Biểu 4 ODA'!$AN$21</f>
        <v>Sở Giao thông vận tải</v>
      </c>
      <c r="AR19" s="324"/>
      <c r="AS19" s="4"/>
    </row>
    <row r="20" spans="1:45" s="7" customFormat="1" ht="48" customHeight="1">
      <c r="A20" s="318" t="s">
        <v>18</v>
      </c>
      <c r="B20" s="507" t="s">
        <v>103</v>
      </c>
      <c r="C20" s="507"/>
      <c r="D20" s="319"/>
      <c r="E20" s="310"/>
      <c r="F20" s="310"/>
      <c r="G20" s="310"/>
      <c r="H20" s="310"/>
      <c r="I20" s="256">
        <f>I21</f>
        <v>840129</v>
      </c>
      <c r="J20" s="256">
        <f aca="true" t="shared" si="4" ref="J20:AP20">J21</f>
        <v>364129</v>
      </c>
      <c r="K20" s="256">
        <f t="shared" si="4"/>
        <v>40000</v>
      </c>
      <c r="L20" s="312"/>
      <c r="M20" s="256">
        <f t="shared" si="4"/>
        <v>476000</v>
      </c>
      <c r="N20" s="256">
        <f t="shared" si="4"/>
        <v>401184</v>
      </c>
      <c r="O20" s="256">
        <f t="shared" si="4"/>
        <v>74816</v>
      </c>
      <c r="P20" s="256">
        <f t="shared" si="4"/>
        <v>128081</v>
      </c>
      <c r="Q20" s="256">
        <f t="shared" si="4"/>
        <v>2081</v>
      </c>
      <c r="R20" s="256">
        <f t="shared" si="4"/>
        <v>126000</v>
      </c>
      <c r="S20" s="256">
        <f t="shared" si="4"/>
        <v>38081</v>
      </c>
      <c r="T20" s="256">
        <f t="shared" si="4"/>
        <v>2081</v>
      </c>
      <c r="U20" s="256">
        <f t="shared" si="4"/>
        <v>36000</v>
      </c>
      <c r="V20" s="256">
        <f t="shared" si="4"/>
        <v>126000</v>
      </c>
      <c r="W20" s="256">
        <f t="shared" si="4"/>
        <v>0</v>
      </c>
      <c r="X20" s="256">
        <f t="shared" si="4"/>
        <v>126000</v>
      </c>
      <c r="Y20" s="256">
        <f t="shared" si="4"/>
        <v>294159</v>
      </c>
      <c r="Z20" s="256">
        <f t="shared" si="4"/>
        <v>2081</v>
      </c>
      <c r="AA20" s="256">
        <f t="shared" si="4"/>
        <v>0</v>
      </c>
      <c r="AB20" s="256"/>
      <c r="AC20" s="256">
        <f t="shared" si="4"/>
        <v>292078</v>
      </c>
      <c r="AD20" s="256">
        <v>217555</v>
      </c>
      <c r="AE20" s="256">
        <v>2081</v>
      </c>
      <c r="AF20" s="256">
        <v>0</v>
      </c>
      <c r="AG20" s="256">
        <v>0</v>
      </c>
      <c r="AH20" s="256">
        <v>215474</v>
      </c>
      <c r="AI20" s="256">
        <f>AI21</f>
        <v>127665</v>
      </c>
      <c r="AJ20" s="256">
        <f>AJ21</f>
        <v>2081</v>
      </c>
      <c r="AK20" s="256">
        <f>AK21</f>
        <v>125584</v>
      </c>
      <c r="AL20" s="256">
        <f>AL21</f>
        <v>76493</v>
      </c>
      <c r="AM20" s="256">
        <f t="shared" si="4"/>
        <v>0</v>
      </c>
      <c r="AN20" s="256"/>
      <c r="AO20" s="256"/>
      <c r="AP20" s="256">
        <f t="shared" si="4"/>
        <v>76493</v>
      </c>
      <c r="AQ20" s="312"/>
      <c r="AR20" s="317"/>
      <c r="AS20" s="4"/>
    </row>
    <row r="21" spans="1:45" s="7" customFormat="1" ht="36.75" customHeight="1">
      <c r="A21" s="309"/>
      <c r="B21" s="506" t="s">
        <v>419</v>
      </c>
      <c r="C21" s="506"/>
      <c r="D21" s="310"/>
      <c r="E21" s="310"/>
      <c r="F21" s="310"/>
      <c r="G21" s="310"/>
      <c r="H21" s="310"/>
      <c r="I21" s="256">
        <f>I23</f>
        <v>840129</v>
      </c>
      <c r="J21" s="256">
        <f aca="true" t="shared" si="5" ref="J21:AP21">J23</f>
        <v>364129</v>
      </c>
      <c r="K21" s="256">
        <f t="shared" si="5"/>
        <v>40000</v>
      </c>
      <c r="L21" s="256"/>
      <c r="M21" s="256">
        <f t="shared" si="5"/>
        <v>476000</v>
      </c>
      <c r="N21" s="256">
        <f t="shared" si="5"/>
        <v>401184</v>
      </c>
      <c r="O21" s="256">
        <f t="shared" si="5"/>
        <v>74816</v>
      </c>
      <c r="P21" s="256">
        <f t="shared" si="5"/>
        <v>128081</v>
      </c>
      <c r="Q21" s="256">
        <f t="shared" si="5"/>
        <v>2081</v>
      </c>
      <c r="R21" s="256">
        <f t="shared" si="5"/>
        <v>126000</v>
      </c>
      <c r="S21" s="256">
        <f>S23</f>
        <v>38081</v>
      </c>
      <c r="T21" s="256">
        <f>T23</f>
        <v>2081</v>
      </c>
      <c r="U21" s="256">
        <f>U23</f>
        <v>36000</v>
      </c>
      <c r="V21" s="256">
        <f t="shared" si="5"/>
        <v>126000</v>
      </c>
      <c r="W21" s="256">
        <f t="shared" si="5"/>
        <v>0</v>
      </c>
      <c r="X21" s="256">
        <f t="shared" si="5"/>
        <v>126000</v>
      </c>
      <c r="Y21" s="256">
        <f t="shared" si="5"/>
        <v>294159</v>
      </c>
      <c r="Z21" s="256">
        <f t="shared" si="5"/>
        <v>2081</v>
      </c>
      <c r="AA21" s="256">
        <f t="shared" si="5"/>
        <v>0</v>
      </c>
      <c r="AB21" s="256"/>
      <c r="AC21" s="256">
        <f t="shared" si="5"/>
        <v>292078</v>
      </c>
      <c r="AD21" s="314">
        <v>217555</v>
      </c>
      <c r="AE21" s="314">
        <v>2081</v>
      </c>
      <c r="AF21" s="314">
        <v>0</v>
      </c>
      <c r="AG21" s="314">
        <v>0</v>
      </c>
      <c r="AH21" s="314">
        <v>215474</v>
      </c>
      <c r="AI21" s="314">
        <f>AI23</f>
        <v>127665</v>
      </c>
      <c r="AJ21" s="314">
        <f>AJ23</f>
        <v>2081</v>
      </c>
      <c r="AK21" s="314">
        <f>AK23</f>
        <v>125584</v>
      </c>
      <c r="AL21" s="256">
        <f t="shared" si="5"/>
        <v>76493</v>
      </c>
      <c r="AM21" s="256">
        <f t="shared" si="5"/>
        <v>0</v>
      </c>
      <c r="AN21" s="256">
        <f t="shared" si="5"/>
        <v>0</v>
      </c>
      <c r="AO21" s="256"/>
      <c r="AP21" s="256">
        <f t="shared" si="5"/>
        <v>76493</v>
      </c>
      <c r="AQ21" s="312"/>
      <c r="AR21" s="317"/>
      <c r="AS21" s="4"/>
    </row>
    <row r="22" spans="1:45" s="7" customFormat="1" ht="28.5" customHeight="1">
      <c r="A22" s="309"/>
      <c r="B22" s="506" t="s">
        <v>8</v>
      </c>
      <c r="C22" s="506"/>
      <c r="D22" s="310"/>
      <c r="E22" s="310"/>
      <c r="F22" s="310"/>
      <c r="G22" s="310"/>
      <c r="H22" s="310"/>
      <c r="I22" s="256"/>
      <c r="J22" s="256"/>
      <c r="K22" s="256"/>
      <c r="L22" s="312"/>
      <c r="M22" s="256"/>
      <c r="N22" s="256"/>
      <c r="O22" s="256"/>
      <c r="P22" s="256"/>
      <c r="Q22" s="256"/>
      <c r="R22" s="256"/>
      <c r="S22" s="256"/>
      <c r="T22" s="256"/>
      <c r="U22" s="256"/>
      <c r="V22" s="256"/>
      <c r="W22" s="256"/>
      <c r="X22" s="256"/>
      <c r="Y22" s="256"/>
      <c r="Z22" s="256"/>
      <c r="AA22" s="256"/>
      <c r="AB22" s="256"/>
      <c r="AC22" s="256"/>
      <c r="AD22" s="314"/>
      <c r="AE22" s="314"/>
      <c r="AF22" s="314"/>
      <c r="AG22" s="314"/>
      <c r="AH22" s="314"/>
      <c r="AI22" s="314"/>
      <c r="AJ22" s="314"/>
      <c r="AK22" s="314"/>
      <c r="AL22" s="256"/>
      <c r="AM22" s="256"/>
      <c r="AN22" s="256"/>
      <c r="AO22" s="256"/>
      <c r="AP22" s="256"/>
      <c r="AQ22" s="312"/>
      <c r="AR22" s="317"/>
      <c r="AS22" s="4"/>
    </row>
    <row r="23" spans="1:46" s="10" customFormat="1" ht="75" customHeight="1">
      <c r="A23" s="337"/>
      <c r="B23" s="338" t="s">
        <v>40</v>
      </c>
      <c r="C23" s="338">
        <v>7608323</v>
      </c>
      <c r="D23" s="339" t="s">
        <v>157</v>
      </c>
      <c r="E23" s="339" t="s">
        <v>41</v>
      </c>
      <c r="F23" s="326" t="s">
        <v>420</v>
      </c>
      <c r="G23" s="339" t="s">
        <v>42</v>
      </c>
      <c r="H23" s="327" t="s">
        <v>421</v>
      </c>
      <c r="I23" s="328">
        <v>840129</v>
      </c>
      <c r="J23" s="328">
        <v>364129</v>
      </c>
      <c r="K23" s="328">
        <v>40000</v>
      </c>
      <c r="L23" s="333" t="s">
        <v>43</v>
      </c>
      <c r="M23" s="328">
        <v>476000</v>
      </c>
      <c r="N23" s="328">
        <v>401184</v>
      </c>
      <c r="O23" s="328">
        <f>M23-N23</f>
        <v>74816</v>
      </c>
      <c r="P23" s="323">
        <f>Q23+R23</f>
        <v>128081</v>
      </c>
      <c r="Q23" s="323">
        <v>2081</v>
      </c>
      <c r="R23" s="323">
        <v>126000</v>
      </c>
      <c r="S23" s="321">
        <f>T23+U23</f>
        <v>38081</v>
      </c>
      <c r="T23" s="321">
        <v>2081</v>
      </c>
      <c r="U23" s="321">
        <v>36000</v>
      </c>
      <c r="V23" s="323">
        <f>W23+X23</f>
        <v>126000</v>
      </c>
      <c r="W23" s="323"/>
      <c r="X23" s="323">
        <v>126000</v>
      </c>
      <c r="Y23" s="323">
        <f>Z23+AC23</f>
        <v>294159</v>
      </c>
      <c r="Z23" s="323">
        <v>2081</v>
      </c>
      <c r="AA23" s="323"/>
      <c r="AB23" s="323"/>
      <c r="AC23" s="323">
        <v>292078</v>
      </c>
      <c r="AD23" s="323">
        <v>217555</v>
      </c>
      <c r="AE23" s="323">
        <v>2081</v>
      </c>
      <c r="AF23" s="323"/>
      <c r="AG23" s="323"/>
      <c r="AH23" s="323">
        <v>215474</v>
      </c>
      <c r="AI23" s="323">
        <f>AJ23+AK23</f>
        <v>127665</v>
      </c>
      <c r="AJ23" s="323">
        <v>2081</v>
      </c>
      <c r="AK23" s="323">
        <f>89584+36000</f>
        <v>125584</v>
      </c>
      <c r="AL23" s="323">
        <v>76493</v>
      </c>
      <c r="AM23" s="323"/>
      <c r="AN23" s="323"/>
      <c r="AO23" s="323"/>
      <c r="AP23" s="323">
        <f>AL23</f>
        <v>76493</v>
      </c>
      <c r="AQ23" s="333" t="str">
        <f>'[2]Biểu 4 ODA'!$AN$25</f>
        <v>Ban Điều phối dự án CSSP tỉnh Bắc Kạn</v>
      </c>
      <c r="AR23" s="340"/>
      <c r="AS23" s="4"/>
      <c r="AT23" s="9"/>
    </row>
    <row r="24" spans="1:46" s="7" customFormat="1" ht="39" customHeight="1">
      <c r="A24" s="318" t="s">
        <v>39</v>
      </c>
      <c r="B24" s="511" t="s">
        <v>45</v>
      </c>
      <c r="C24" s="511"/>
      <c r="D24" s="319"/>
      <c r="E24" s="310"/>
      <c r="F24" s="310"/>
      <c r="G24" s="310"/>
      <c r="H24" s="310"/>
      <c r="I24" s="256">
        <f>I25</f>
        <v>153655</v>
      </c>
      <c r="J24" s="256">
        <f aca="true" t="shared" si="6" ref="J24:AP24">J25</f>
        <v>32054</v>
      </c>
      <c r="K24" s="256">
        <f t="shared" si="6"/>
        <v>0</v>
      </c>
      <c r="L24" s="312"/>
      <c r="M24" s="256">
        <f>M25</f>
        <v>121151</v>
      </c>
      <c r="N24" s="256">
        <f t="shared" si="6"/>
        <v>84806</v>
      </c>
      <c r="O24" s="256">
        <f t="shared" si="6"/>
        <v>36345</v>
      </c>
      <c r="P24" s="256">
        <f t="shared" si="6"/>
        <v>31500</v>
      </c>
      <c r="Q24" s="256">
        <f t="shared" si="6"/>
        <v>0</v>
      </c>
      <c r="R24" s="256">
        <f t="shared" si="6"/>
        <v>31500</v>
      </c>
      <c r="S24" s="256">
        <f t="shared" si="6"/>
        <v>9333</v>
      </c>
      <c r="T24" s="256">
        <f t="shared" si="6"/>
        <v>0</v>
      </c>
      <c r="U24" s="256">
        <f t="shared" si="6"/>
        <v>9333</v>
      </c>
      <c r="V24" s="256">
        <f t="shared" si="6"/>
        <v>31500</v>
      </c>
      <c r="W24" s="256">
        <f t="shared" si="6"/>
        <v>0</v>
      </c>
      <c r="X24" s="256">
        <f t="shared" si="6"/>
        <v>31500</v>
      </c>
      <c r="Y24" s="256">
        <f t="shared" si="6"/>
        <v>84806</v>
      </c>
      <c r="Z24" s="256">
        <f t="shared" si="6"/>
        <v>0</v>
      </c>
      <c r="AA24" s="256">
        <f t="shared" si="6"/>
        <v>0</v>
      </c>
      <c r="AB24" s="256"/>
      <c r="AC24" s="256">
        <f t="shared" si="6"/>
        <v>84806</v>
      </c>
      <c r="AD24" s="314">
        <v>51500</v>
      </c>
      <c r="AE24" s="314">
        <v>0</v>
      </c>
      <c r="AF24" s="314">
        <v>0</v>
      </c>
      <c r="AG24" s="314">
        <v>0</v>
      </c>
      <c r="AH24" s="314">
        <v>51500</v>
      </c>
      <c r="AI24" s="314">
        <f>AI25</f>
        <v>29333</v>
      </c>
      <c r="AJ24" s="314"/>
      <c r="AK24" s="314">
        <f>AK25</f>
        <v>29333</v>
      </c>
      <c r="AL24" s="256">
        <f t="shared" si="6"/>
        <v>33000</v>
      </c>
      <c r="AM24" s="256">
        <f t="shared" si="6"/>
        <v>0</v>
      </c>
      <c r="AN24" s="256">
        <f t="shared" si="6"/>
        <v>0</v>
      </c>
      <c r="AO24" s="256"/>
      <c r="AP24" s="256">
        <f t="shared" si="6"/>
        <v>33000</v>
      </c>
      <c r="AQ24" s="312"/>
      <c r="AR24" s="256"/>
      <c r="AS24" s="4"/>
      <c r="AT24" s="1"/>
    </row>
    <row r="25" spans="1:46" s="7" customFormat="1" ht="39" customHeight="1">
      <c r="A25" s="318"/>
      <c r="B25" s="508" t="str">
        <f>B21</f>
        <v>Dự án dự kiến  hoàn thành sau năm 2023</v>
      </c>
      <c r="C25" s="508"/>
      <c r="D25" s="310"/>
      <c r="E25" s="310"/>
      <c r="F25" s="310"/>
      <c r="G25" s="310"/>
      <c r="H25" s="310"/>
      <c r="I25" s="256">
        <f>I27</f>
        <v>153655</v>
      </c>
      <c r="J25" s="256">
        <f>J27</f>
        <v>32054</v>
      </c>
      <c r="K25" s="256">
        <f>K27</f>
        <v>0</v>
      </c>
      <c r="L25" s="312"/>
      <c r="M25" s="256">
        <f aca="true" t="shared" si="7" ref="M25:AP25">M27</f>
        <v>121151</v>
      </c>
      <c r="N25" s="256">
        <f t="shared" si="7"/>
        <v>84806</v>
      </c>
      <c r="O25" s="256">
        <f t="shared" si="7"/>
        <v>36345</v>
      </c>
      <c r="P25" s="256">
        <f t="shared" si="7"/>
        <v>31500</v>
      </c>
      <c r="Q25" s="256">
        <f t="shared" si="7"/>
        <v>0</v>
      </c>
      <c r="R25" s="256">
        <f t="shared" si="7"/>
        <v>31500</v>
      </c>
      <c r="S25" s="256">
        <f>S27</f>
        <v>9333</v>
      </c>
      <c r="T25" s="256">
        <f>T27</f>
        <v>0</v>
      </c>
      <c r="U25" s="256">
        <f>U27</f>
        <v>9333</v>
      </c>
      <c r="V25" s="256">
        <f t="shared" si="7"/>
        <v>31500</v>
      </c>
      <c r="W25" s="256">
        <f t="shared" si="7"/>
        <v>0</v>
      </c>
      <c r="X25" s="256">
        <f t="shared" si="7"/>
        <v>31500</v>
      </c>
      <c r="Y25" s="256">
        <f t="shared" si="7"/>
        <v>84806</v>
      </c>
      <c r="Z25" s="256">
        <f t="shared" si="7"/>
        <v>0</v>
      </c>
      <c r="AA25" s="256">
        <f t="shared" si="7"/>
        <v>0</v>
      </c>
      <c r="AB25" s="256"/>
      <c r="AC25" s="256">
        <f t="shared" si="7"/>
        <v>84806</v>
      </c>
      <c r="AD25" s="314">
        <v>51500</v>
      </c>
      <c r="AE25" s="314">
        <v>0</v>
      </c>
      <c r="AF25" s="314">
        <v>0</v>
      </c>
      <c r="AG25" s="314">
        <v>0</v>
      </c>
      <c r="AH25" s="314">
        <v>51500</v>
      </c>
      <c r="AI25" s="314">
        <f>AI27</f>
        <v>29333</v>
      </c>
      <c r="AJ25" s="314"/>
      <c r="AK25" s="314">
        <f>AK27</f>
        <v>29333</v>
      </c>
      <c r="AL25" s="256">
        <f t="shared" si="7"/>
        <v>33000</v>
      </c>
      <c r="AM25" s="256">
        <f t="shared" si="7"/>
        <v>0</v>
      </c>
      <c r="AN25" s="256">
        <f t="shared" si="7"/>
        <v>0</v>
      </c>
      <c r="AO25" s="256"/>
      <c r="AP25" s="256">
        <f t="shared" si="7"/>
        <v>33000</v>
      </c>
      <c r="AQ25" s="312"/>
      <c r="AR25" s="256"/>
      <c r="AS25" s="4"/>
      <c r="AT25" s="1"/>
    </row>
    <row r="26" spans="1:46" s="7" customFormat="1" ht="33" customHeight="1">
      <c r="A26" s="309"/>
      <c r="B26" s="508" t="s">
        <v>8</v>
      </c>
      <c r="C26" s="508"/>
      <c r="D26" s="310"/>
      <c r="E26" s="310"/>
      <c r="F26" s="310"/>
      <c r="G26" s="310"/>
      <c r="H26" s="310"/>
      <c r="I26" s="256"/>
      <c r="J26" s="256"/>
      <c r="K26" s="256"/>
      <c r="L26" s="312"/>
      <c r="M26" s="256"/>
      <c r="N26" s="256"/>
      <c r="O26" s="256"/>
      <c r="P26" s="256"/>
      <c r="Q26" s="256"/>
      <c r="R26" s="256"/>
      <c r="S26" s="256"/>
      <c r="T26" s="256"/>
      <c r="U26" s="256"/>
      <c r="V26" s="256"/>
      <c r="W26" s="256"/>
      <c r="X26" s="256"/>
      <c r="Y26" s="256"/>
      <c r="Z26" s="256"/>
      <c r="AA26" s="256"/>
      <c r="AB26" s="256"/>
      <c r="AC26" s="256"/>
      <c r="AD26" s="314"/>
      <c r="AE26" s="314"/>
      <c r="AF26" s="314"/>
      <c r="AG26" s="314"/>
      <c r="AH26" s="314"/>
      <c r="AI26" s="314"/>
      <c r="AJ26" s="314"/>
      <c r="AK26" s="314"/>
      <c r="AL26" s="256"/>
      <c r="AM26" s="256"/>
      <c r="AN26" s="256"/>
      <c r="AO26" s="256"/>
      <c r="AP26" s="256"/>
      <c r="AQ26" s="312"/>
      <c r="AR26" s="324"/>
      <c r="AS26" s="4"/>
      <c r="AT26" s="1"/>
    </row>
    <row r="27" spans="1:46" s="7" customFormat="1" ht="62.25">
      <c r="A27" s="341"/>
      <c r="B27" s="342" t="s">
        <v>46</v>
      </c>
      <c r="C27" s="342">
        <v>7847201</v>
      </c>
      <c r="D27" s="343" t="s">
        <v>157</v>
      </c>
      <c r="E27" s="343" t="s">
        <v>29</v>
      </c>
      <c r="F27" s="344" t="s">
        <v>422</v>
      </c>
      <c r="G27" s="343" t="s">
        <v>47</v>
      </c>
      <c r="H27" s="345" t="s">
        <v>48</v>
      </c>
      <c r="I27" s="346">
        <v>153655</v>
      </c>
      <c r="J27" s="346">
        <v>32054</v>
      </c>
      <c r="K27" s="347"/>
      <c r="L27" s="348" t="s">
        <v>49</v>
      </c>
      <c r="M27" s="346">
        <v>121151</v>
      </c>
      <c r="N27" s="346">
        <v>84806</v>
      </c>
      <c r="O27" s="346">
        <f>M27-N27</f>
        <v>36345</v>
      </c>
      <c r="P27" s="349">
        <f>Q27+R27</f>
        <v>31500</v>
      </c>
      <c r="Q27" s="347"/>
      <c r="R27" s="349">
        <v>31500</v>
      </c>
      <c r="S27" s="349">
        <f>T27+U27</f>
        <v>9333</v>
      </c>
      <c r="T27" s="349"/>
      <c r="U27" s="349">
        <v>9333</v>
      </c>
      <c r="V27" s="349">
        <f>W27+X27</f>
        <v>31500</v>
      </c>
      <c r="W27" s="349"/>
      <c r="X27" s="349">
        <v>31500</v>
      </c>
      <c r="Y27" s="349">
        <f>Z27+AC27</f>
        <v>84806</v>
      </c>
      <c r="Z27" s="347"/>
      <c r="AA27" s="347"/>
      <c r="AB27" s="347"/>
      <c r="AC27" s="349">
        <v>84806</v>
      </c>
      <c r="AD27" s="350">
        <v>51500</v>
      </c>
      <c r="AE27" s="351"/>
      <c r="AF27" s="351"/>
      <c r="AG27" s="351"/>
      <c r="AH27" s="350">
        <v>51500</v>
      </c>
      <c r="AI27" s="350">
        <f>AJ27+AK27</f>
        <v>29333</v>
      </c>
      <c r="AJ27" s="350"/>
      <c r="AK27" s="350">
        <f>20000+9333</f>
        <v>29333</v>
      </c>
      <c r="AL27" s="349">
        <f>AM27+AP27</f>
        <v>33000</v>
      </c>
      <c r="AM27" s="347"/>
      <c r="AN27" s="347"/>
      <c r="AO27" s="347"/>
      <c r="AP27" s="352">
        <v>33000</v>
      </c>
      <c r="AQ27" s="353" t="str">
        <f>'[2]Biểu 4 ODA'!$AN$29</f>
        <v>Sở Y tế</v>
      </c>
      <c r="AR27" s="354"/>
      <c r="AS27" s="257"/>
      <c r="AT27" s="1"/>
    </row>
    <row r="28" spans="1:44" ht="18">
      <c r="A28" s="251"/>
      <c r="B28" s="251"/>
      <c r="C28" s="251"/>
      <c r="D28" s="251"/>
      <c r="E28" s="251"/>
      <c r="F28" s="251"/>
      <c r="G28" s="251"/>
      <c r="H28" s="251"/>
      <c r="I28" s="251"/>
      <c r="J28" s="251"/>
      <c r="K28" s="251"/>
      <c r="L28" s="251"/>
      <c r="M28" s="251"/>
      <c r="N28" s="251"/>
      <c r="O28" s="251"/>
      <c r="P28" s="251"/>
      <c r="Q28" s="251"/>
      <c r="R28" s="251"/>
      <c r="S28" s="251"/>
      <c r="T28" s="251"/>
      <c r="U28" s="251"/>
      <c r="V28" s="251"/>
      <c r="W28" s="251"/>
      <c r="X28" s="251"/>
      <c r="Y28" s="251"/>
      <c r="Z28" s="251"/>
      <c r="AA28" s="251"/>
      <c r="AB28" s="251"/>
      <c r="AC28" s="251"/>
      <c r="AD28" s="251"/>
      <c r="AE28" s="251"/>
      <c r="AF28" s="251"/>
      <c r="AG28" s="251"/>
      <c r="AH28" s="251"/>
      <c r="AI28" s="251"/>
      <c r="AJ28" s="251"/>
      <c r="AK28" s="251"/>
      <c r="AL28" s="251"/>
      <c r="AM28" s="251"/>
      <c r="AN28" s="251"/>
      <c r="AO28" s="251"/>
      <c r="AP28" s="251"/>
      <c r="AR28" s="251"/>
    </row>
    <row r="29" spans="1:44" ht="18">
      <c r="A29" s="251"/>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251"/>
      <c r="AH29" s="251"/>
      <c r="AI29" s="251"/>
      <c r="AJ29" s="251"/>
      <c r="AK29" s="251"/>
      <c r="AL29" s="251"/>
      <c r="AM29" s="251"/>
      <c r="AN29" s="251"/>
      <c r="AO29" s="251"/>
      <c r="AP29" s="251"/>
      <c r="AR29" s="251"/>
    </row>
    <row r="30" spans="1:44" ht="18">
      <c r="A30" s="251"/>
      <c r="B30" s="251"/>
      <c r="C30" s="251"/>
      <c r="D30" s="251"/>
      <c r="E30" s="251"/>
      <c r="F30" s="251"/>
      <c r="G30" s="251"/>
      <c r="H30" s="251"/>
      <c r="I30" s="251"/>
      <c r="J30" s="251"/>
      <c r="K30" s="251"/>
      <c r="L30" s="251"/>
      <c r="M30" s="251"/>
      <c r="N30" s="251"/>
      <c r="O30" s="251"/>
      <c r="P30" s="251"/>
      <c r="Q30" s="251"/>
      <c r="R30" s="251"/>
      <c r="S30" s="251"/>
      <c r="T30" s="251"/>
      <c r="U30" s="251"/>
      <c r="V30" s="251"/>
      <c r="W30" s="251"/>
      <c r="X30" s="251"/>
      <c r="Y30" s="251"/>
      <c r="Z30" s="251"/>
      <c r="AA30" s="251"/>
      <c r="AB30" s="251"/>
      <c r="AC30" s="251"/>
      <c r="AD30" s="251"/>
      <c r="AE30" s="251"/>
      <c r="AF30" s="251"/>
      <c r="AG30" s="251"/>
      <c r="AH30" s="251"/>
      <c r="AI30" s="251"/>
      <c r="AJ30" s="251"/>
      <c r="AK30" s="251"/>
      <c r="AL30" s="251"/>
      <c r="AM30" s="251"/>
      <c r="AN30" s="251"/>
      <c r="AO30" s="251"/>
      <c r="AP30" s="251"/>
      <c r="AR30" s="251"/>
    </row>
    <row r="31" spans="1:44" ht="18">
      <c r="A31" s="251"/>
      <c r="B31" s="251"/>
      <c r="C31" s="251"/>
      <c r="D31" s="251"/>
      <c r="E31" s="251"/>
      <c r="F31" s="251"/>
      <c r="G31" s="251"/>
      <c r="H31" s="251"/>
      <c r="I31" s="251"/>
      <c r="J31" s="251"/>
      <c r="K31" s="251"/>
      <c r="L31" s="251"/>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1"/>
      <c r="AM31" s="251"/>
      <c r="AN31" s="251"/>
      <c r="AO31" s="251"/>
      <c r="AP31" s="251"/>
      <c r="AR31" s="251"/>
    </row>
    <row r="32" spans="1:44" ht="18">
      <c r="A32" s="251"/>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R32" s="251"/>
    </row>
    <row r="33" spans="1:44" ht="18">
      <c r="A33" s="251"/>
      <c r="B33" s="251"/>
      <c r="C33" s="251"/>
      <c r="D33" s="251"/>
      <c r="E33" s="251"/>
      <c r="F33" s="251"/>
      <c r="G33" s="251"/>
      <c r="H33" s="251"/>
      <c r="I33" s="251"/>
      <c r="J33" s="251"/>
      <c r="K33" s="251"/>
      <c r="L33" s="251"/>
      <c r="M33" s="251"/>
      <c r="N33" s="251"/>
      <c r="O33" s="251"/>
      <c r="P33" s="251"/>
      <c r="Q33" s="251"/>
      <c r="R33" s="251"/>
      <c r="S33" s="251"/>
      <c r="T33" s="251"/>
      <c r="U33" s="251"/>
      <c r="V33" s="251"/>
      <c r="W33" s="251"/>
      <c r="X33" s="251"/>
      <c r="Y33" s="251"/>
      <c r="Z33" s="251"/>
      <c r="AA33" s="251"/>
      <c r="AB33" s="251"/>
      <c r="AC33" s="251"/>
      <c r="AD33" s="251"/>
      <c r="AE33" s="251"/>
      <c r="AF33" s="251"/>
      <c r="AG33" s="251"/>
      <c r="AH33" s="251"/>
      <c r="AI33" s="251"/>
      <c r="AJ33" s="251"/>
      <c r="AK33" s="251"/>
      <c r="AL33" s="251"/>
      <c r="AM33" s="251"/>
      <c r="AN33" s="251"/>
      <c r="AO33" s="251"/>
      <c r="AP33" s="251"/>
      <c r="AR33" s="251"/>
    </row>
    <row r="34" spans="1:44" ht="18">
      <c r="A34" s="251"/>
      <c r="B34" s="251"/>
      <c r="C34" s="251"/>
      <c r="D34" s="251"/>
      <c r="E34" s="251"/>
      <c r="F34" s="251"/>
      <c r="G34" s="251"/>
      <c r="H34" s="251"/>
      <c r="I34" s="251"/>
      <c r="J34" s="251"/>
      <c r="K34" s="251"/>
      <c r="L34" s="251"/>
      <c r="M34" s="251"/>
      <c r="N34" s="251"/>
      <c r="O34" s="251"/>
      <c r="P34" s="251"/>
      <c r="Q34" s="251"/>
      <c r="R34" s="251"/>
      <c r="S34" s="251"/>
      <c r="T34" s="251"/>
      <c r="U34" s="251"/>
      <c r="V34" s="251"/>
      <c r="W34" s="251"/>
      <c r="X34" s="251"/>
      <c r="Y34" s="251"/>
      <c r="Z34" s="251"/>
      <c r="AA34" s="251"/>
      <c r="AB34" s="251"/>
      <c r="AC34" s="251"/>
      <c r="AD34" s="251"/>
      <c r="AE34" s="251"/>
      <c r="AF34" s="251"/>
      <c r="AG34" s="251"/>
      <c r="AH34" s="251"/>
      <c r="AI34" s="251"/>
      <c r="AJ34" s="251"/>
      <c r="AK34" s="251"/>
      <c r="AL34" s="251"/>
      <c r="AM34" s="251"/>
      <c r="AN34" s="251"/>
      <c r="AO34" s="251"/>
      <c r="AP34" s="251"/>
      <c r="AR34" s="251"/>
    </row>
    <row r="35" spans="1:44" ht="18">
      <c r="A35" s="251"/>
      <c r="B35" s="251"/>
      <c r="C35" s="251"/>
      <c r="D35" s="251"/>
      <c r="E35" s="251"/>
      <c r="F35" s="251"/>
      <c r="G35" s="251"/>
      <c r="H35" s="251"/>
      <c r="I35" s="251"/>
      <c r="J35" s="251"/>
      <c r="K35" s="251"/>
      <c r="L35" s="251"/>
      <c r="M35" s="251"/>
      <c r="N35" s="251"/>
      <c r="O35" s="251"/>
      <c r="P35" s="251"/>
      <c r="Q35" s="251"/>
      <c r="R35" s="251"/>
      <c r="S35" s="251"/>
      <c r="T35" s="251"/>
      <c r="U35" s="251"/>
      <c r="V35" s="251"/>
      <c r="W35" s="251"/>
      <c r="X35" s="251"/>
      <c r="Y35" s="251"/>
      <c r="Z35" s="251"/>
      <c r="AA35" s="251"/>
      <c r="AB35" s="251"/>
      <c r="AC35" s="251"/>
      <c r="AD35" s="251"/>
      <c r="AE35" s="251"/>
      <c r="AF35" s="251"/>
      <c r="AG35" s="251"/>
      <c r="AH35" s="251"/>
      <c r="AI35" s="251"/>
      <c r="AJ35" s="251"/>
      <c r="AK35" s="251"/>
      <c r="AL35" s="251"/>
      <c r="AM35" s="251"/>
      <c r="AN35" s="251"/>
      <c r="AO35" s="251"/>
      <c r="AP35" s="251"/>
      <c r="AR35" s="251"/>
    </row>
    <row r="36" spans="1:44" ht="18">
      <c r="A36" s="251"/>
      <c r="B36" s="251"/>
      <c r="C36" s="251"/>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R36" s="251"/>
    </row>
    <row r="37" spans="1:44" ht="18">
      <c r="A37" s="251"/>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R37" s="251"/>
    </row>
    <row r="38" spans="1:44" ht="18">
      <c r="A38" s="251"/>
      <c r="B38" s="251"/>
      <c r="C38" s="251"/>
      <c r="D38" s="251"/>
      <c r="E38" s="25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51"/>
      <c r="AN38" s="251"/>
      <c r="AO38" s="251"/>
      <c r="AP38" s="251"/>
      <c r="AR38" s="251"/>
    </row>
    <row r="39" spans="1:44" ht="18">
      <c r="A39" s="251"/>
      <c r="B39" s="251"/>
      <c r="C39" s="251"/>
      <c r="D39" s="251"/>
      <c r="E39" s="251"/>
      <c r="F39" s="251"/>
      <c r="G39" s="251"/>
      <c r="H39" s="251"/>
      <c r="I39" s="251"/>
      <c r="J39" s="251"/>
      <c r="K39" s="251"/>
      <c r="L39" s="251"/>
      <c r="M39" s="251"/>
      <c r="N39" s="251"/>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1"/>
      <c r="AN39" s="251"/>
      <c r="AO39" s="251"/>
      <c r="AP39" s="251"/>
      <c r="AR39" s="251"/>
    </row>
    <row r="40" spans="1:44" ht="18">
      <c r="A40" s="251"/>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R40" s="251"/>
    </row>
    <row r="41" spans="1:44" ht="18">
      <c r="A41" s="251"/>
      <c r="B41" s="251"/>
      <c r="C41" s="251"/>
      <c r="D41" s="251"/>
      <c r="E41" s="251"/>
      <c r="F41" s="251"/>
      <c r="G41" s="251"/>
      <c r="H41" s="251"/>
      <c r="I41" s="251"/>
      <c r="J41" s="251"/>
      <c r="K41" s="251"/>
      <c r="L41" s="251"/>
      <c r="M41" s="251"/>
      <c r="N41" s="251"/>
      <c r="O41" s="251"/>
      <c r="P41" s="251"/>
      <c r="Q41" s="251"/>
      <c r="R41" s="251"/>
      <c r="S41" s="251"/>
      <c r="T41" s="251"/>
      <c r="U41" s="251"/>
      <c r="V41" s="251"/>
      <c r="W41" s="251"/>
      <c r="X41" s="251"/>
      <c r="Y41" s="251"/>
      <c r="Z41" s="251"/>
      <c r="AA41" s="251"/>
      <c r="AB41" s="251"/>
      <c r="AC41" s="251"/>
      <c r="AD41" s="251"/>
      <c r="AE41" s="251"/>
      <c r="AF41" s="251"/>
      <c r="AG41" s="251"/>
      <c r="AH41" s="251"/>
      <c r="AI41" s="251"/>
      <c r="AJ41" s="251"/>
      <c r="AK41" s="251"/>
      <c r="AL41" s="251"/>
      <c r="AM41" s="251"/>
      <c r="AN41" s="251"/>
      <c r="AO41" s="251"/>
      <c r="AP41" s="251"/>
      <c r="AR41" s="251"/>
    </row>
    <row r="42" spans="1:44" ht="18">
      <c r="A42" s="251"/>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251"/>
      <c r="AH42" s="251"/>
      <c r="AI42" s="251"/>
      <c r="AJ42" s="251"/>
      <c r="AK42" s="251"/>
      <c r="AL42" s="251"/>
      <c r="AM42" s="251"/>
      <c r="AN42" s="251"/>
      <c r="AO42" s="251"/>
      <c r="AP42" s="251"/>
      <c r="AR42" s="251"/>
    </row>
    <row r="43" spans="1:44" ht="18">
      <c r="A43" s="251"/>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R43" s="251"/>
    </row>
    <row r="44" spans="1:44" ht="18">
      <c r="A44" s="251"/>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c r="AD44" s="251"/>
      <c r="AE44" s="251"/>
      <c r="AF44" s="251"/>
      <c r="AG44" s="251"/>
      <c r="AH44" s="251"/>
      <c r="AI44" s="251"/>
      <c r="AJ44" s="251"/>
      <c r="AK44" s="251"/>
      <c r="AL44" s="251"/>
      <c r="AM44" s="251"/>
      <c r="AN44" s="251"/>
      <c r="AO44" s="251"/>
      <c r="AP44" s="251"/>
      <c r="AR44" s="251"/>
    </row>
    <row r="45" spans="1:44" ht="18">
      <c r="A45" s="251"/>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c r="AD45" s="251"/>
      <c r="AE45" s="251"/>
      <c r="AF45" s="251"/>
      <c r="AG45" s="251"/>
      <c r="AH45" s="251"/>
      <c r="AI45" s="251"/>
      <c r="AJ45" s="251"/>
      <c r="AK45" s="251"/>
      <c r="AL45" s="251"/>
      <c r="AM45" s="251"/>
      <c r="AN45" s="251"/>
      <c r="AO45" s="251"/>
      <c r="AP45" s="251"/>
      <c r="AR45" s="251"/>
    </row>
    <row r="46" spans="1:44" ht="18">
      <c r="A46" s="251"/>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c r="AD46" s="251"/>
      <c r="AE46" s="251"/>
      <c r="AF46" s="251"/>
      <c r="AG46" s="251"/>
      <c r="AH46" s="251"/>
      <c r="AI46" s="251"/>
      <c r="AJ46" s="251"/>
      <c r="AK46" s="251"/>
      <c r="AL46" s="251"/>
      <c r="AM46" s="251"/>
      <c r="AN46" s="251"/>
      <c r="AO46" s="251"/>
      <c r="AP46" s="251"/>
      <c r="AR46" s="251"/>
    </row>
    <row r="47" spans="1:44" ht="18">
      <c r="A47" s="251"/>
      <c r="B47" s="251"/>
      <c r="C47" s="251"/>
      <c r="D47" s="251"/>
      <c r="E47" s="251"/>
      <c r="F47" s="251"/>
      <c r="G47" s="251"/>
      <c r="H47" s="251"/>
      <c r="I47" s="251"/>
      <c r="J47" s="251"/>
      <c r="K47" s="251"/>
      <c r="L47" s="251"/>
      <c r="M47" s="251"/>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R47" s="251"/>
    </row>
    <row r="48" spans="1:44" ht="18">
      <c r="A48" s="251"/>
      <c r="B48" s="251"/>
      <c r="C48" s="251"/>
      <c r="D48" s="251"/>
      <c r="E48" s="251"/>
      <c r="F48" s="251"/>
      <c r="G48" s="251"/>
      <c r="H48" s="251"/>
      <c r="I48" s="251"/>
      <c r="J48" s="251"/>
      <c r="K48" s="251"/>
      <c r="L48" s="251"/>
      <c r="M48" s="251"/>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R48" s="251"/>
    </row>
    <row r="49" spans="1:44" ht="18">
      <c r="A49" s="251"/>
      <c r="B49" s="251"/>
      <c r="C49" s="251"/>
      <c r="D49" s="251"/>
      <c r="E49" s="251"/>
      <c r="F49" s="251"/>
      <c r="G49" s="251"/>
      <c r="H49" s="251"/>
      <c r="I49" s="251"/>
      <c r="J49" s="251"/>
      <c r="K49" s="251"/>
      <c r="L49" s="251"/>
      <c r="M49" s="251"/>
      <c r="N49" s="251"/>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c r="AN49" s="251"/>
      <c r="AO49" s="251"/>
      <c r="AP49" s="251"/>
      <c r="AR49" s="251"/>
    </row>
    <row r="50" spans="1:44" ht="18">
      <c r="A50" s="251"/>
      <c r="B50" s="251"/>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c r="AD50" s="251"/>
      <c r="AE50" s="251"/>
      <c r="AF50" s="251"/>
      <c r="AG50" s="251"/>
      <c r="AH50" s="251"/>
      <c r="AI50" s="251"/>
      <c r="AJ50" s="251"/>
      <c r="AK50" s="251"/>
      <c r="AL50" s="251"/>
      <c r="AM50" s="251"/>
      <c r="AN50" s="251"/>
      <c r="AO50" s="251"/>
      <c r="AP50" s="251"/>
      <c r="AR50" s="251"/>
    </row>
    <row r="51" spans="1:44" ht="18">
      <c r="A51" s="251"/>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c r="AD51" s="251"/>
      <c r="AE51" s="251"/>
      <c r="AF51" s="251"/>
      <c r="AG51" s="251"/>
      <c r="AH51" s="251"/>
      <c r="AI51" s="251"/>
      <c r="AJ51" s="251"/>
      <c r="AK51" s="251"/>
      <c r="AL51" s="251"/>
      <c r="AM51" s="251"/>
      <c r="AN51" s="251"/>
      <c r="AO51" s="251"/>
      <c r="AP51" s="251"/>
      <c r="AR51" s="251"/>
    </row>
    <row r="52" spans="1:44" ht="18">
      <c r="A52" s="251"/>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c r="AD52" s="251"/>
      <c r="AE52" s="251"/>
      <c r="AF52" s="251"/>
      <c r="AG52" s="251"/>
      <c r="AH52" s="251"/>
      <c r="AI52" s="251"/>
      <c r="AJ52" s="251"/>
      <c r="AK52" s="251"/>
      <c r="AL52" s="251"/>
      <c r="AM52" s="251"/>
      <c r="AN52" s="251"/>
      <c r="AO52" s="251"/>
      <c r="AP52" s="251"/>
      <c r="AR52" s="251"/>
    </row>
    <row r="53" spans="1:44" ht="18">
      <c r="A53" s="251"/>
      <c r="B53" s="251"/>
      <c r="C53" s="251"/>
      <c r="D53" s="251"/>
      <c r="E53" s="251"/>
      <c r="F53" s="251"/>
      <c r="G53" s="251"/>
      <c r="H53" s="251"/>
      <c r="I53" s="251"/>
      <c r="J53" s="251"/>
      <c r="K53" s="251"/>
      <c r="L53" s="251"/>
      <c r="M53" s="251"/>
      <c r="N53" s="251"/>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c r="AN53" s="251"/>
      <c r="AO53" s="251"/>
      <c r="AP53" s="251"/>
      <c r="AR53" s="251"/>
    </row>
    <row r="54" spans="1:44" ht="18">
      <c r="A54" s="251"/>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251"/>
      <c r="AH54" s="251"/>
      <c r="AI54" s="251"/>
      <c r="AJ54" s="251"/>
      <c r="AK54" s="251"/>
      <c r="AL54" s="251"/>
      <c r="AM54" s="251"/>
      <c r="AN54" s="251"/>
      <c r="AO54" s="251"/>
      <c r="AP54" s="251"/>
      <c r="AR54" s="251"/>
    </row>
    <row r="55" spans="1:44" ht="18">
      <c r="A55" s="251"/>
      <c r="B55" s="251"/>
      <c r="C55" s="251"/>
      <c r="D55" s="251"/>
      <c r="E55" s="251"/>
      <c r="F55" s="251"/>
      <c r="G55" s="251"/>
      <c r="H55" s="251"/>
      <c r="I55" s="251"/>
      <c r="J55" s="251"/>
      <c r="K55" s="251"/>
      <c r="L55" s="251"/>
      <c r="M55" s="251"/>
      <c r="N55" s="251"/>
      <c r="O55" s="251"/>
      <c r="P55" s="251"/>
      <c r="Q55" s="251"/>
      <c r="R55" s="251"/>
      <c r="S55" s="251"/>
      <c r="T55" s="251"/>
      <c r="U55" s="251"/>
      <c r="V55" s="251"/>
      <c r="W55" s="251"/>
      <c r="X55" s="251"/>
      <c r="Y55" s="251"/>
      <c r="Z55" s="251"/>
      <c r="AA55" s="251"/>
      <c r="AB55" s="251"/>
      <c r="AC55" s="251"/>
      <c r="AD55" s="251"/>
      <c r="AE55" s="251"/>
      <c r="AF55" s="251"/>
      <c r="AG55" s="251"/>
      <c r="AH55" s="251"/>
      <c r="AI55" s="251"/>
      <c r="AJ55" s="251"/>
      <c r="AK55" s="251"/>
      <c r="AL55" s="251"/>
      <c r="AM55" s="251"/>
      <c r="AN55" s="251"/>
      <c r="AO55" s="251"/>
      <c r="AP55" s="251"/>
      <c r="AR55" s="251"/>
    </row>
    <row r="56" spans="1:44" ht="18">
      <c r="A56" s="251"/>
      <c r="B56" s="251"/>
      <c r="C56" s="251"/>
      <c r="D56" s="251"/>
      <c r="E56" s="251"/>
      <c r="F56" s="251"/>
      <c r="G56" s="251"/>
      <c r="H56" s="251"/>
      <c r="I56" s="251"/>
      <c r="J56" s="251"/>
      <c r="K56" s="251"/>
      <c r="L56" s="251"/>
      <c r="M56" s="251"/>
      <c r="N56" s="251"/>
      <c r="O56" s="251"/>
      <c r="P56" s="251"/>
      <c r="Q56" s="251"/>
      <c r="R56" s="251"/>
      <c r="S56" s="251"/>
      <c r="T56" s="251"/>
      <c r="U56" s="251"/>
      <c r="V56" s="251"/>
      <c r="W56" s="251"/>
      <c r="X56" s="251"/>
      <c r="Y56" s="251"/>
      <c r="Z56" s="251"/>
      <c r="AA56" s="251"/>
      <c r="AB56" s="251"/>
      <c r="AC56" s="251"/>
      <c r="AD56" s="251"/>
      <c r="AE56" s="251"/>
      <c r="AF56" s="251"/>
      <c r="AG56" s="251"/>
      <c r="AH56" s="251"/>
      <c r="AI56" s="251"/>
      <c r="AJ56" s="251"/>
      <c r="AK56" s="251"/>
      <c r="AL56" s="251"/>
      <c r="AM56" s="251"/>
      <c r="AN56" s="251"/>
      <c r="AO56" s="251"/>
      <c r="AP56" s="251"/>
      <c r="AR56" s="251"/>
    </row>
    <row r="57" spans="1:44" ht="18">
      <c r="A57" s="251"/>
      <c r="B57" s="251"/>
      <c r="C57" s="251"/>
      <c r="D57" s="251"/>
      <c r="E57" s="251"/>
      <c r="F57" s="251"/>
      <c r="G57" s="251"/>
      <c r="H57" s="251"/>
      <c r="I57" s="251"/>
      <c r="J57" s="251"/>
      <c r="K57" s="251"/>
      <c r="L57" s="251"/>
      <c r="M57" s="251"/>
      <c r="N57" s="251"/>
      <c r="O57" s="251"/>
      <c r="P57" s="251"/>
      <c r="Q57" s="251"/>
      <c r="R57" s="251"/>
      <c r="S57" s="251"/>
      <c r="T57" s="251"/>
      <c r="U57" s="251"/>
      <c r="V57" s="251"/>
      <c r="W57" s="251"/>
      <c r="X57" s="251"/>
      <c r="Y57" s="251"/>
      <c r="Z57" s="251"/>
      <c r="AA57" s="251"/>
      <c r="AB57" s="251"/>
      <c r="AC57" s="251"/>
      <c r="AD57" s="251"/>
      <c r="AE57" s="251"/>
      <c r="AF57" s="251"/>
      <c r="AG57" s="251"/>
      <c r="AH57" s="251"/>
      <c r="AI57" s="251"/>
      <c r="AJ57" s="251"/>
      <c r="AK57" s="251"/>
      <c r="AL57" s="251"/>
      <c r="AM57" s="251"/>
      <c r="AN57" s="251"/>
      <c r="AO57" s="251"/>
      <c r="AP57" s="251"/>
      <c r="AR57" s="251"/>
    </row>
    <row r="58" spans="1:44" ht="18">
      <c r="A58" s="251"/>
      <c r="B58" s="251"/>
      <c r="C58" s="251"/>
      <c r="D58" s="251"/>
      <c r="E58" s="251"/>
      <c r="F58" s="251"/>
      <c r="G58" s="251"/>
      <c r="H58" s="251"/>
      <c r="I58" s="251"/>
      <c r="J58" s="251"/>
      <c r="K58" s="251"/>
      <c r="L58" s="251"/>
      <c r="M58" s="251"/>
      <c r="N58" s="251"/>
      <c r="O58" s="251"/>
      <c r="P58" s="251"/>
      <c r="Q58" s="251"/>
      <c r="R58" s="251"/>
      <c r="S58" s="251"/>
      <c r="T58" s="251"/>
      <c r="U58" s="251"/>
      <c r="V58" s="251"/>
      <c r="W58" s="251"/>
      <c r="X58" s="251"/>
      <c r="Y58" s="251"/>
      <c r="Z58" s="251"/>
      <c r="AA58" s="251"/>
      <c r="AB58" s="251"/>
      <c r="AC58" s="251"/>
      <c r="AD58" s="251"/>
      <c r="AE58" s="251"/>
      <c r="AF58" s="251"/>
      <c r="AG58" s="251"/>
      <c r="AH58" s="251"/>
      <c r="AI58" s="251"/>
      <c r="AJ58" s="251"/>
      <c r="AK58" s="251"/>
      <c r="AL58" s="251"/>
      <c r="AM58" s="251"/>
      <c r="AN58" s="251"/>
      <c r="AO58" s="251"/>
      <c r="AP58" s="251"/>
      <c r="AR58" s="251"/>
    </row>
    <row r="59" spans="1:44" ht="18">
      <c r="A59" s="251"/>
      <c r="B59" s="251"/>
      <c r="C59" s="251"/>
      <c r="D59" s="251"/>
      <c r="E59" s="251"/>
      <c r="F59" s="251"/>
      <c r="G59" s="251"/>
      <c r="H59" s="251"/>
      <c r="I59" s="251"/>
      <c r="J59" s="251"/>
      <c r="K59" s="251"/>
      <c r="L59" s="251"/>
      <c r="M59" s="251"/>
      <c r="N59" s="251"/>
      <c r="O59" s="251"/>
      <c r="P59" s="251"/>
      <c r="Q59" s="251"/>
      <c r="R59" s="251"/>
      <c r="S59" s="251"/>
      <c r="T59" s="251"/>
      <c r="U59" s="251"/>
      <c r="V59" s="251"/>
      <c r="W59" s="251"/>
      <c r="X59" s="251"/>
      <c r="Y59" s="251"/>
      <c r="Z59" s="251"/>
      <c r="AA59" s="251"/>
      <c r="AB59" s="251"/>
      <c r="AC59" s="251"/>
      <c r="AD59" s="251"/>
      <c r="AE59" s="251"/>
      <c r="AF59" s="251"/>
      <c r="AG59" s="251"/>
      <c r="AH59" s="251"/>
      <c r="AI59" s="251"/>
      <c r="AJ59" s="251"/>
      <c r="AK59" s="251"/>
      <c r="AL59" s="251"/>
      <c r="AM59" s="251"/>
      <c r="AN59" s="251"/>
      <c r="AO59" s="251"/>
      <c r="AP59" s="251"/>
      <c r="AR59" s="251"/>
    </row>
    <row r="60" spans="1:44" ht="18">
      <c r="A60" s="251"/>
      <c r="B60" s="251"/>
      <c r="C60" s="251"/>
      <c r="D60" s="251"/>
      <c r="E60" s="251"/>
      <c r="F60" s="251"/>
      <c r="G60" s="251"/>
      <c r="H60" s="251"/>
      <c r="I60" s="251"/>
      <c r="J60" s="251"/>
      <c r="K60" s="251"/>
      <c r="L60" s="251"/>
      <c r="M60" s="251"/>
      <c r="N60" s="251"/>
      <c r="O60" s="251"/>
      <c r="P60" s="251"/>
      <c r="Q60" s="251"/>
      <c r="R60" s="251"/>
      <c r="S60" s="251"/>
      <c r="T60" s="251"/>
      <c r="U60" s="251"/>
      <c r="V60" s="251"/>
      <c r="W60" s="251"/>
      <c r="X60" s="251"/>
      <c r="Y60" s="251"/>
      <c r="Z60" s="251"/>
      <c r="AA60" s="251"/>
      <c r="AB60" s="251"/>
      <c r="AC60" s="251"/>
      <c r="AD60" s="251"/>
      <c r="AE60" s="251"/>
      <c r="AF60" s="251"/>
      <c r="AG60" s="251"/>
      <c r="AH60" s="251"/>
      <c r="AI60" s="251"/>
      <c r="AJ60" s="251"/>
      <c r="AK60" s="251"/>
      <c r="AL60" s="251"/>
      <c r="AM60" s="251"/>
      <c r="AN60" s="251"/>
      <c r="AO60" s="251"/>
      <c r="AP60" s="251"/>
      <c r="AR60" s="251"/>
    </row>
    <row r="61" spans="1:44" ht="18">
      <c r="A61" s="251"/>
      <c r="B61" s="251"/>
      <c r="C61" s="251"/>
      <c r="D61" s="251"/>
      <c r="E61" s="251"/>
      <c r="F61" s="251"/>
      <c r="G61" s="251"/>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c r="AN61" s="251"/>
      <c r="AO61" s="251"/>
      <c r="AP61" s="251"/>
      <c r="AR61" s="251"/>
    </row>
    <row r="62" spans="1:44" ht="18">
      <c r="A62" s="251"/>
      <c r="B62" s="251"/>
      <c r="C62" s="251"/>
      <c r="D62" s="251"/>
      <c r="E62" s="251"/>
      <c r="F62" s="251"/>
      <c r="G62" s="251"/>
      <c r="H62" s="251"/>
      <c r="I62" s="251"/>
      <c r="J62" s="251"/>
      <c r="K62" s="251"/>
      <c r="L62" s="251"/>
      <c r="M62" s="251"/>
      <c r="N62" s="251"/>
      <c r="O62" s="251"/>
      <c r="P62" s="251"/>
      <c r="Q62" s="251"/>
      <c r="R62" s="251"/>
      <c r="S62" s="251"/>
      <c r="T62" s="251"/>
      <c r="U62" s="251"/>
      <c r="V62" s="251"/>
      <c r="W62" s="251"/>
      <c r="X62" s="251"/>
      <c r="Y62" s="251"/>
      <c r="Z62" s="251"/>
      <c r="AA62" s="251"/>
      <c r="AB62" s="251"/>
      <c r="AC62" s="251"/>
      <c r="AD62" s="251"/>
      <c r="AE62" s="251"/>
      <c r="AF62" s="251"/>
      <c r="AG62" s="251"/>
      <c r="AH62" s="251"/>
      <c r="AI62" s="251"/>
      <c r="AJ62" s="251"/>
      <c r="AK62" s="251"/>
      <c r="AL62" s="251"/>
      <c r="AM62" s="251"/>
      <c r="AN62" s="251"/>
      <c r="AO62" s="251"/>
      <c r="AP62" s="251"/>
      <c r="AR62" s="251"/>
    </row>
    <row r="63" spans="1:44" ht="18">
      <c r="A63" s="251"/>
      <c r="B63" s="251"/>
      <c r="C63" s="251"/>
      <c r="D63" s="251"/>
      <c r="E63" s="251"/>
      <c r="F63" s="251"/>
      <c r="G63" s="251"/>
      <c r="H63" s="251"/>
      <c r="I63" s="251"/>
      <c r="J63" s="251"/>
      <c r="K63" s="251"/>
      <c r="L63" s="251"/>
      <c r="M63" s="251"/>
      <c r="N63" s="251"/>
      <c r="O63" s="251"/>
      <c r="P63" s="251"/>
      <c r="Q63" s="251"/>
      <c r="R63" s="251"/>
      <c r="S63" s="251"/>
      <c r="T63" s="251"/>
      <c r="U63" s="251"/>
      <c r="V63" s="251"/>
      <c r="W63" s="251"/>
      <c r="X63" s="251"/>
      <c r="Y63" s="251"/>
      <c r="Z63" s="251"/>
      <c r="AA63" s="251"/>
      <c r="AB63" s="251"/>
      <c r="AC63" s="251"/>
      <c r="AD63" s="251"/>
      <c r="AE63" s="251"/>
      <c r="AF63" s="251"/>
      <c r="AG63" s="251"/>
      <c r="AH63" s="251"/>
      <c r="AI63" s="251"/>
      <c r="AJ63" s="251"/>
      <c r="AK63" s="251"/>
      <c r="AL63" s="251"/>
      <c r="AM63" s="251"/>
      <c r="AN63" s="251"/>
      <c r="AO63" s="251"/>
      <c r="AP63" s="251"/>
      <c r="AR63" s="251"/>
    </row>
    <row r="64" spans="1:44" ht="18">
      <c r="A64" s="251"/>
      <c r="B64" s="251"/>
      <c r="C64" s="251"/>
      <c r="D64" s="251"/>
      <c r="E64" s="251"/>
      <c r="F64" s="251"/>
      <c r="G64" s="251"/>
      <c r="H64" s="251"/>
      <c r="I64" s="251"/>
      <c r="J64" s="251"/>
      <c r="K64" s="251"/>
      <c r="L64" s="251"/>
      <c r="M64" s="251"/>
      <c r="N64" s="251"/>
      <c r="O64" s="251"/>
      <c r="P64" s="251"/>
      <c r="Q64" s="251"/>
      <c r="R64" s="251"/>
      <c r="S64" s="251"/>
      <c r="T64" s="251"/>
      <c r="U64" s="251"/>
      <c r="V64" s="251"/>
      <c r="W64" s="251"/>
      <c r="X64" s="251"/>
      <c r="Y64" s="251"/>
      <c r="Z64" s="251"/>
      <c r="AA64" s="251"/>
      <c r="AB64" s="251"/>
      <c r="AC64" s="251"/>
      <c r="AD64" s="251"/>
      <c r="AE64" s="251"/>
      <c r="AF64" s="251"/>
      <c r="AG64" s="251"/>
      <c r="AH64" s="251"/>
      <c r="AI64" s="251"/>
      <c r="AJ64" s="251"/>
      <c r="AK64" s="251"/>
      <c r="AL64" s="251"/>
      <c r="AM64" s="251"/>
      <c r="AN64" s="251"/>
      <c r="AO64" s="251"/>
      <c r="AP64" s="251"/>
      <c r="AR64" s="251"/>
    </row>
    <row r="65" spans="1:44" ht="18">
      <c r="A65" s="251"/>
      <c r="B65" s="251"/>
      <c r="C65" s="251"/>
      <c r="D65" s="251"/>
      <c r="E65" s="251"/>
      <c r="F65" s="251"/>
      <c r="G65" s="251"/>
      <c r="H65" s="251"/>
      <c r="I65" s="251"/>
      <c r="J65" s="251"/>
      <c r="K65" s="251"/>
      <c r="L65" s="251"/>
      <c r="M65" s="251"/>
      <c r="N65" s="251"/>
      <c r="O65" s="251"/>
      <c r="P65" s="251"/>
      <c r="Q65" s="251"/>
      <c r="R65" s="251"/>
      <c r="S65" s="251"/>
      <c r="T65" s="251"/>
      <c r="U65" s="251"/>
      <c r="V65" s="251"/>
      <c r="W65" s="251"/>
      <c r="X65" s="251"/>
      <c r="Y65" s="251"/>
      <c r="Z65" s="251"/>
      <c r="AA65" s="251"/>
      <c r="AB65" s="251"/>
      <c r="AC65" s="251"/>
      <c r="AD65" s="251"/>
      <c r="AE65" s="251"/>
      <c r="AF65" s="251"/>
      <c r="AG65" s="251"/>
      <c r="AH65" s="251"/>
      <c r="AI65" s="251"/>
      <c r="AJ65" s="251"/>
      <c r="AK65" s="251"/>
      <c r="AL65" s="251"/>
      <c r="AM65" s="251"/>
      <c r="AN65" s="251"/>
      <c r="AO65" s="251"/>
      <c r="AP65" s="251"/>
      <c r="AR65" s="251"/>
    </row>
    <row r="66" spans="1:44" ht="18">
      <c r="A66" s="251"/>
      <c r="B66" s="251"/>
      <c r="C66" s="251"/>
      <c r="D66" s="251"/>
      <c r="E66" s="251"/>
      <c r="F66" s="251"/>
      <c r="G66" s="251"/>
      <c r="H66" s="251"/>
      <c r="I66" s="251"/>
      <c r="J66" s="251"/>
      <c r="K66" s="251"/>
      <c r="L66" s="251"/>
      <c r="M66" s="251"/>
      <c r="N66" s="251"/>
      <c r="O66" s="251"/>
      <c r="P66" s="251"/>
      <c r="Q66" s="251"/>
      <c r="R66" s="251"/>
      <c r="S66" s="251"/>
      <c r="T66" s="251"/>
      <c r="U66" s="251"/>
      <c r="V66" s="251"/>
      <c r="W66" s="251"/>
      <c r="X66" s="251"/>
      <c r="Y66" s="251"/>
      <c r="Z66" s="251"/>
      <c r="AA66" s="251"/>
      <c r="AB66" s="251"/>
      <c r="AC66" s="251"/>
      <c r="AD66" s="251"/>
      <c r="AE66" s="251"/>
      <c r="AF66" s="251"/>
      <c r="AG66" s="251"/>
      <c r="AH66" s="251"/>
      <c r="AI66" s="251"/>
      <c r="AJ66" s="251"/>
      <c r="AK66" s="251"/>
      <c r="AL66" s="251"/>
      <c r="AM66" s="251"/>
      <c r="AN66" s="251"/>
      <c r="AO66" s="251"/>
      <c r="AP66" s="251"/>
      <c r="AR66" s="251"/>
    </row>
    <row r="67" spans="1:44" ht="18">
      <c r="A67" s="251"/>
      <c r="B67" s="251"/>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1"/>
      <c r="AC67" s="251"/>
      <c r="AD67" s="251"/>
      <c r="AE67" s="251"/>
      <c r="AF67" s="251"/>
      <c r="AG67" s="251"/>
      <c r="AH67" s="251"/>
      <c r="AI67" s="251"/>
      <c r="AJ67" s="251"/>
      <c r="AK67" s="251"/>
      <c r="AL67" s="251"/>
      <c r="AM67" s="251"/>
      <c r="AN67" s="251"/>
      <c r="AO67" s="251"/>
      <c r="AP67" s="251"/>
      <c r="AR67" s="251"/>
    </row>
    <row r="68" spans="1:44" ht="18">
      <c r="A68" s="251"/>
      <c r="B68" s="251"/>
      <c r="C68" s="251"/>
      <c r="D68" s="251"/>
      <c r="E68" s="251"/>
      <c r="F68" s="251"/>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1"/>
      <c r="AE68" s="251"/>
      <c r="AF68" s="251"/>
      <c r="AG68" s="251"/>
      <c r="AH68" s="251"/>
      <c r="AI68" s="251"/>
      <c r="AJ68" s="251"/>
      <c r="AK68" s="251"/>
      <c r="AL68" s="251"/>
      <c r="AM68" s="251"/>
      <c r="AN68" s="251"/>
      <c r="AO68" s="251"/>
      <c r="AP68" s="251"/>
      <c r="AR68" s="251"/>
    </row>
    <row r="69" spans="1:44" ht="18">
      <c r="A69" s="251"/>
      <c r="B69" s="251"/>
      <c r="C69" s="251"/>
      <c r="D69" s="251"/>
      <c r="E69" s="251"/>
      <c r="F69" s="251"/>
      <c r="G69" s="251"/>
      <c r="H69" s="251"/>
      <c r="I69" s="251"/>
      <c r="J69" s="251"/>
      <c r="K69" s="251"/>
      <c r="L69" s="251"/>
      <c r="M69" s="251"/>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c r="AN69" s="251"/>
      <c r="AO69" s="251"/>
      <c r="AP69" s="251"/>
      <c r="AR69" s="251"/>
    </row>
    <row r="70" spans="1:44" ht="18">
      <c r="A70" s="251"/>
      <c r="B70" s="251"/>
      <c r="C70" s="251"/>
      <c r="D70" s="251"/>
      <c r="E70" s="251"/>
      <c r="F70" s="251"/>
      <c r="G70" s="251"/>
      <c r="H70" s="251"/>
      <c r="I70" s="251"/>
      <c r="J70" s="251"/>
      <c r="K70" s="251"/>
      <c r="L70" s="251"/>
      <c r="M70" s="251"/>
      <c r="N70" s="251"/>
      <c r="O70" s="251"/>
      <c r="P70" s="251"/>
      <c r="Q70" s="251"/>
      <c r="R70" s="251"/>
      <c r="S70" s="251"/>
      <c r="T70" s="251"/>
      <c r="U70" s="251"/>
      <c r="V70" s="251"/>
      <c r="W70" s="251"/>
      <c r="X70" s="251"/>
      <c r="Y70" s="251"/>
      <c r="Z70" s="251"/>
      <c r="AA70" s="251"/>
      <c r="AB70" s="251"/>
      <c r="AC70" s="251"/>
      <c r="AD70" s="251"/>
      <c r="AE70" s="251"/>
      <c r="AF70" s="251"/>
      <c r="AG70" s="251"/>
      <c r="AH70" s="251"/>
      <c r="AI70" s="251"/>
      <c r="AJ70" s="251"/>
      <c r="AK70" s="251"/>
      <c r="AL70" s="251"/>
      <c r="AM70" s="251"/>
      <c r="AN70" s="251"/>
      <c r="AO70" s="251"/>
      <c r="AP70" s="251"/>
      <c r="AR70" s="251"/>
    </row>
    <row r="71" spans="1:44" ht="18">
      <c r="A71" s="251"/>
      <c r="B71" s="251"/>
      <c r="C71" s="251"/>
      <c r="D71" s="251"/>
      <c r="E71" s="251"/>
      <c r="F71" s="251"/>
      <c r="G71" s="251"/>
      <c r="H71" s="251"/>
      <c r="I71" s="251"/>
      <c r="J71" s="251"/>
      <c r="K71" s="251"/>
      <c r="L71" s="251"/>
      <c r="M71" s="251"/>
      <c r="N71" s="251"/>
      <c r="O71" s="251"/>
      <c r="P71" s="251"/>
      <c r="Q71" s="251"/>
      <c r="R71" s="251"/>
      <c r="S71" s="251"/>
      <c r="T71" s="251"/>
      <c r="U71" s="251"/>
      <c r="V71" s="251"/>
      <c r="W71" s="251"/>
      <c r="X71" s="251"/>
      <c r="Y71" s="251"/>
      <c r="Z71" s="251"/>
      <c r="AA71" s="251"/>
      <c r="AB71" s="251"/>
      <c r="AC71" s="251"/>
      <c r="AD71" s="251"/>
      <c r="AE71" s="251"/>
      <c r="AF71" s="251"/>
      <c r="AG71" s="251"/>
      <c r="AH71" s="251"/>
      <c r="AI71" s="251"/>
      <c r="AJ71" s="251"/>
      <c r="AK71" s="251"/>
      <c r="AL71" s="251"/>
      <c r="AM71" s="251"/>
      <c r="AN71" s="251"/>
      <c r="AO71" s="251"/>
      <c r="AP71" s="251"/>
      <c r="AR71" s="251"/>
    </row>
    <row r="72" spans="1:44" ht="18">
      <c r="A72" s="251"/>
      <c r="B72" s="251"/>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c r="AN72" s="251"/>
      <c r="AO72" s="251"/>
      <c r="AP72" s="251"/>
      <c r="AR72" s="251"/>
    </row>
    <row r="73" spans="1:44" ht="18">
      <c r="A73" s="251"/>
      <c r="B73" s="251"/>
      <c r="C73" s="251"/>
      <c r="D73" s="251"/>
      <c r="E73" s="251"/>
      <c r="F73" s="251"/>
      <c r="G73" s="251"/>
      <c r="H73" s="251"/>
      <c r="I73" s="251"/>
      <c r="J73" s="251"/>
      <c r="K73" s="251"/>
      <c r="L73" s="251"/>
      <c r="M73" s="251"/>
      <c r="N73" s="251"/>
      <c r="O73" s="251"/>
      <c r="P73" s="251"/>
      <c r="Q73" s="251"/>
      <c r="R73" s="251"/>
      <c r="S73" s="251"/>
      <c r="T73" s="251"/>
      <c r="U73" s="251"/>
      <c r="V73" s="251"/>
      <c r="W73" s="251"/>
      <c r="X73" s="251"/>
      <c r="Y73" s="251"/>
      <c r="Z73" s="251"/>
      <c r="AA73" s="251"/>
      <c r="AB73" s="251"/>
      <c r="AC73" s="251"/>
      <c r="AD73" s="251"/>
      <c r="AE73" s="251"/>
      <c r="AF73" s="251"/>
      <c r="AG73" s="251"/>
      <c r="AH73" s="251"/>
      <c r="AI73" s="251"/>
      <c r="AJ73" s="251"/>
      <c r="AK73" s="251"/>
      <c r="AL73" s="251"/>
      <c r="AM73" s="251"/>
      <c r="AN73" s="251"/>
      <c r="AO73" s="251"/>
      <c r="AP73" s="251"/>
      <c r="AR73" s="251"/>
    </row>
    <row r="74" spans="1:44" ht="18">
      <c r="A74" s="251"/>
      <c r="B74" s="251"/>
      <c r="C74" s="251"/>
      <c r="D74" s="251"/>
      <c r="E74" s="25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1"/>
      <c r="AE74" s="251"/>
      <c r="AF74" s="251"/>
      <c r="AG74" s="251"/>
      <c r="AH74" s="251"/>
      <c r="AI74" s="251"/>
      <c r="AJ74" s="251"/>
      <c r="AK74" s="251"/>
      <c r="AL74" s="251"/>
      <c r="AM74" s="251"/>
      <c r="AN74" s="251"/>
      <c r="AO74" s="251"/>
      <c r="AP74" s="251"/>
      <c r="AR74" s="251"/>
    </row>
    <row r="75" spans="1:44" ht="18">
      <c r="A75" s="251"/>
      <c r="B75" s="251"/>
      <c r="C75" s="251"/>
      <c r="D75" s="251"/>
      <c r="E75" s="251"/>
      <c r="F75" s="251"/>
      <c r="G75" s="251"/>
      <c r="H75" s="251"/>
      <c r="I75" s="251"/>
      <c r="J75" s="251"/>
      <c r="K75" s="251"/>
      <c r="L75" s="251"/>
      <c r="M75" s="251"/>
      <c r="N75" s="251"/>
      <c r="O75" s="251"/>
      <c r="P75" s="251"/>
      <c r="Q75" s="251"/>
      <c r="R75" s="251"/>
      <c r="S75" s="251"/>
      <c r="T75" s="251"/>
      <c r="U75" s="251"/>
      <c r="V75" s="251"/>
      <c r="W75" s="251"/>
      <c r="X75" s="251"/>
      <c r="Y75" s="251"/>
      <c r="Z75" s="251"/>
      <c r="AA75" s="251"/>
      <c r="AB75" s="251"/>
      <c r="AC75" s="251"/>
      <c r="AD75" s="251"/>
      <c r="AE75" s="251"/>
      <c r="AF75" s="251"/>
      <c r="AG75" s="251"/>
      <c r="AH75" s="251"/>
      <c r="AI75" s="251"/>
      <c r="AJ75" s="251"/>
      <c r="AK75" s="251"/>
      <c r="AL75" s="251"/>
      <c r="AM75" s="251"/>
      <c r="AN75" s="251"/>
      <c r="AO75" s="251"/>
      <c r="AP75" s="251"/>
      <c r="AR75" s="251"/>
    </row>
    <row r="76" spans="1:44" ht="18">
      <c r="A76" s="251"/>
      <c r="B76" s="251"/>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1"/>
      <c r="AC76" s="251"/>
      <c r="AD76" s="251"/>
      <c r="AE76" s="251"/>
      <c r="AF76" s="251"/>
      <c r="AG76" s="251"/>
      <c r="AH76" s="251"/>
      <c r="AI76" s="251"/>
      <c r="AJ76" s="251"/>
      <c r="AK76" s="251"/>
      <c r="AL76" s="251"/>
      <c r="AM76" s="251"/>
      <c r="AN76" s="251"/>
      <c r="AO76" s="251"/>
      <c r="AP76" s="251"/>
      <c r="AR76" s="251"/>
    </row>
    <row r="77" spans="1:44" ht="18">
      <c r="A77" s="251"/>
      <c r="B77" s="251"/>
      <c r="C77" s="251"/>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M77" s="251"/>
      <c r="AN77" s="251"/>
      <c r="AO77" s="251"/>
      <c r="AP77" s="251"/>
      <c r="AR77" s="251"/>
    </row>
    <row r="78" spans="1:44" ht="18">
      <c r="A78" s="251"/>
      <c r="B78" s="251"/>
      <c r="C78" s="251"/>
      <c r="D78" s="251"/>
      <c r="E78" s="251"/>
      <c r="F78" s="251"/>
      <c r="G78" s="251"/>
      <c r="H78" s="251"/>
      <c r="I78" s="251"/>
      <c r="J78" s="251"/>
      <c r="K78" s="251"/>
      <c r="L78" s="251"/>
      <c r="M78" s="251"/>
      <c r="N78" s="251"/>
      <c r="O78" s="251"/>
      <c r="P78" s="251"/>
      <c r="Q78" s="251"/>
      <c r="R78" s="251"/>
      <c r="S78" s="251"/>
      <c r="T78" s="251"/>
      <c r="U78" s="251"/>
      <c r="V78" s="251"/>
      <c r="W78" s="251"/>
      <c r="X78" s="251"/>
      <c r="Y78" s="251"/>
      <c r="Z78" s="251"/>
      <c r="AA78" s="251"/>
      <c r="AB78" s="251"/>
      <c r="AC78" s="251"/>
      <c r="AD78" s="251"/>
      <c r="AE78" s="251"/>
      <c r="AF78" s="251"/>
      <c r="AG78" s="251"/>
      <c r="AH78" s="251"/>
      <c r="AI78" s="251"/>
      <c r="AJ78" s="251"/>
      <c r="AK78" s="251"/>
      <c r="AL78" s="251"/>
      <c r="AM78" s="251"/>
      <c r="AN78" s="251"/>
      <c r="AO78" s="251"/>
      <c r="AP78" s="251"/>
      <c r="AR78" s="251"/>
    </row>
    <row r="79" spans="1:44" ht="18">
      <c r="A79" s="251"/>
      <c r="B79" s="251"/>
      <c r="C79" s="251"/>
      <c r="D79" s="251"/>
      <c r="E79" s="251"/>
      <c r="F79" s="251"/>
      <c r="G79" s="251"/>
      <c r="H79" s="251"/>
      <c r="I79" s="251"/>
      <c r="J79" s="251"/>
      <c r="K79" s="251"/>
      <c r="L79" s="251"/>
      <c r="M79" s="251"/>
      <c r="N79" s="251"/>
      <c r="O79" s="251"/>
      <c r="P79" s="251"/>
      <c r="Q79" s="251"/>
      <c r="R79" s="251"/>
      <c r="S79" s="251"/>
      <c r="T79" s="251"/>
      <c r="U79" s="251"/>
      <c r="V79" s="251"/>
      <c r="W79" s="251"/>
      <c r="X79" s="251"/>
      <c r="Y79" s="251"/>
      <c r="Z79" s="251"/>
      <c r="AA79" s="251"/>
      <c r="AB79" s="251"/>
      <c r="AC79" s="251"/>
      <c r="AD79" s="251"/>
      <c r="AE79" s="251"/>
      <c r="AF79" s="251"/>
      <c r="AG79" s="251"/>
      <c r="AH79" s="251"/>
      <c r="AI79" s="251"/>
      <c r="AJ79" s="251"/>
      <c r="AK79" s="251"/>
      <c r="AL79" s="251"/>
      <c r="AM79" s="251"/>
      <c r="AN79" s="251"/>
      <c r="AO79" s="251"/>
      <c r="AP79" s="251"/>
      <c r="AR79" s="251"/>
    </row>
    <row r="80" spans="1:44" ht="18">
      <c r="A80" s="251"/>
      <c r="B80" s="251"/>
      <c r="C80" s="251"/>
      <c r="D80" s="251"/>
      <c r="E80" s="251"/>
      <c r="F80" s="251"/>
      <c r="G80" s="251"/>
      <c r="H80" s="251"/>
      <c r="I80" s="251"/>
      <c r="J80" s="251"/>
      <c r="K80" s="251"/>
      <c r="L80" s="251"/>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51"/>
      <c r="AN80" s="251"/>
      <c r="AO80" s="251"/>
      <c r="AP80" s="251"/>
      <c r="AR80" s="251"/>
    </row>
    <row r="81" spans="1:44" ht="18">
      <c r="A81" s="251"/>
      <c r="B81" s="251"/>
      <c r="C81" s="251"/>
      <c r="D81" s="251"/>
      <c r="E81" s="251"/>
      <c r="F81" s="251"/>
      <c r="G81" s="251"/>
      <c r="H81" s="251"/>
      <c r="I81" s="251"/>
      <c r="J81" s="251"/>
      <c r="K81" s="251"/>
      <c r="L81" s="251"/>
      <c r="M81" s="251"/>
      <c r="N81" s="251"/>
      <c r="O81" s="251"/>
      <c r="P81" s="251"/>
      <c r="Q81" s="251"/>
      <c r="R81" s="251"/>
      <c r="S81" s="251"/>
      <c r="T81" s="251"/>
      <c r="U81" s="251"/>
      <c r="V81" s="251"/>
      <c r="W81" s="251"/>
      <c r="X81" s="251"/>
      <c r="Y81" s="251"/>
      <c r="Z81" s="251"/>
      <c r="AA81" s="251"/>
      <c r="AB81" s="251"/>
      <c r="AC81" s="251"/>
      <c r="AD81" s="251"/>
      <c r="AE81" s="251"/>
      <c r="AF81" s="251"/>
      <c r="AG81" s="251"/>
      <c r="AH81" s="251"/>
      <c r="AI81" s="251"/>
      <c r="AJ81" s="251"/>
      <c r="AK81" s="251"/>
      <c r="AL81" s="251"/>
      <c r="AM81" s="251"/>
      <c r="AN81" s="251"/>
      <c r="AO81" s="251"/>
      <c r="AP81" s="251"/>
      <c r="AR81" s="251"/>
    </row>
    <row r="82" spans="1:44" ht="18">
      <c r="A82" s="251"/>
      <c r="B82" s="251"/>
      <c r="C82" s="251"/>
      <c r="D82" s="251"/>
      <c r="E82" s="251"/>
      <c r="F82" s="251"/>
      <c r="G82" s="251"/>
      <c r="H82" s="251"/>
      <c r="I82" s="251"/>
      <c r="J82" s="251"/>
      <c r="K82" s="251"/>
      <c r="L82" s="251"/>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51"/>
      <c r="AN82" s="251"/>
      <c r="AO82" s="251"/>
      <c r="AP82" s="251"/>
      <c r="AR82" s="251"/>
    </row>
    <row r="83" spans="1:44" ht="18">
      <c r="A83" s="251"/>
      <c r="B83" s="251"/>
      <c r="C83" s="251"/>
      <c r="D83" s="251"/>
      <c r="E83" s="251"/>
      <c r="F83" s="251"/>
      <c r="G83" s="251"/>
      <c r="H83" s="251"/>
      <c r="I83" s="251"/>
      <c r="J83" s="251"/>
      <c r="K83" s="251"/>
      <c r="L83" s="251"/>
      <c r="M83" s="251"/>
      <c r="N83" s="251"/>
      <c r="O83" s="251"/>
      <c r="P83" s="251"/>
      <c r="Q83" s="251"/>
      <c r="R83" s="251"/>
      <c r="S83" s="251"/>
      <c r="T83" s="251"/>
      <c r="U83" s="251"/>
      <c r="V83" s="251"/>
      <c r="W83" s="251"/>
      <c r="X83" s="251"/>
      <c r="Y83" s="251"/>
      <c r="Z83" s="251"/>
      <c r="AA83" s="251"/>
      <c r="AB83" s="251"/>
      <c r="AC83" s="251"/>
      <c r="AD83" s="251"/>
      <c r="AE83" s="251"/>
      <c r="AF83" s="251"/>
      <c r="AG83" s="251"/>
      <c r="AH83" s="251"/>
      <c r="AI83" s="251"/>
      <c r="AJ83" s="251"/>
      <c r="AK83" s="251"/>
      <c r="AL83" s="251"/>
      <c r="AM83" s="251"/>
      <c r="AN83" s="251"/>
      <c r="AO83" s="251"/>
      <c r="AP83" s="251"/>
      <c r="AR83" s="251"/>
    </row>
    <row r="84" spans="1:44" ht="18">
      <c r="A84" s="251"/>
      <c r="B84" s="251"/>
      <c r="C84" s="251"/>
      <c r="D84" s="251"/>
      <c r="E84" s="251"/>
      <c r="F84" s="251"/>
      <c r="G84" s="251"/>
      <c r="H84" s="251"/>
      <c r="I84" s="251"/>
      <c r="J84" s="251"/>
      <c r="K84" s="251"/>
      <c r="L84" s="251"/>
      <c r="M84" s="251"/>
      <c r="N84" s="251"/>
      <c r="O84" s="251"/>
      <c r="P84" s="251"/>
      <c r="Q84" s="251"/>
      <c r="R84" s="251"/>
      <c r="S84" s="251"/>
      <c r="T84" s="251"/>
      <c r="U84" s="251"/>
      <c r="V84" s="251"/>
      <c r="W84" s="251"/>
      <c r="X84" s="251"/>
      <c r="Y84" s="251"/>
      <c r="Z84" s="251"/>
      <c r="AA84" s="251"/>
      <c r="AB84" s="251"/>
      <c r="AC84" s="251"/>
      <c r="AD84" s="251"/>
      <c r="AE84" s="251"/>
      <c r="AF84" s="251"/>
      <c r="AG84" s="251"/>
      <c r="AH84" s="251"/>
      <c r="AI84" s="251"/>
      <c r="AJ84" s="251"/>
      <c r="AK84" s="251"/>
      <c r="AL84" s="251"/>
      <c r="AM84" s="251"/>
      <c r="AN84" s="251"/>
      <c r="AO84" s="251"/>
      <c r="AP84" s="251"/>
      <c r="AR84" s="251"/>
    </row>
    <row r="85" spans="1:44" ht="18">
      <c r="A85" s="251"/>
      <c r="B85" s="251"/>
      <c r="C85" s="251"/>
      <c r="D85" s="251"/>
      <c r="E85" s="251"/>
      <c r="F85" s="251"/>
      <c r="G85" s="251"/>
      <c r="H85" s="251"/>
      <c r="I85" s="251"/>
      <c r="J85" s="251"/>
      <c r="K85" s="251"/>
      <c r="L85" s="251"/>
      <c r="M85" s="251"/>
      <c r="N85" s="251"/>
      <c r="O85" s="251"/>
      <c r="P85" s="251"/>
      <c r="Q85" s="251"/>
      <c r="R85" s="251"/>
      <c r="S85" s="251"/>
      <c r="T85" s="251"/>
      <c r="U85" s="251"/>
      <c r="V85" s="251"/>
      <c r="W85" s="251"/>
      <c r="X85" s="251"/>
      <c r="Y85" s="251"/>
      <c r="Z85" s="251"/>
      <c r="AA85" s="251"/>
      <c r="AB85" s="251"/>
      <c r="AC85" s="251"/>
      <c r="AD85" s="251"/>
      <c r="AE85" s="251"/>
      <c r="AF85" s="251"/>
      <c r="AG85" s="251"/>
      <c r="AH85" s="251"/>
      <c r="AI85" s="251"/>
      <c r="AJ85" s="251"/>
      <c r="AK85" s="251"/>
      <c r="AL85" s="251"/>
      <c r="AM85" s="251"/>
      <c r="AN85" s="251"/>
      <c r="AO85" s="251"/>
      <c r="AP85" s="251"/>
      <c r="AR85" s="251"/>
    </row>
    <row r="86" spans="1:44" ht="18">
      <c r="A86" s="251"/>
      <c r="B86" s="251"/>
      <c r="C86" s="251"/>
      <c r="D86" s="251"/>
      <c r="E86" s="251"/>
      <c r="F86" s="251"/>
      <c r="G86" s="251"/>
      <c r="H86" s="251"/>
      <c r="I86" s="251"/>
      <c r="J86" s="251"/>
      <c r="K86" s="251"/>
      <c r="L86" s="251"/>
      <c r="M86" s="251"/>
      <c r="N86" s="251"/>
      <c r="O86" s="251"/>
      <c r="P86" s="251"/>
      <c r="Q86" s="251"/>
      <c r="R86" s="251"/>
      <c r="S86" s="251"/>
      <c r="T86" s="251"/>
      <c r="U86" s="251"/>
      <c r="V86" s="251"/>
      <c r="W86" s="251"/>
      <c r="X86" s="251"/>
      <c r="Y86" s="251"/>
      <c r="Z86" s="251"/>
      <c r="AA86" s="251"/>
      <c r="AB86" s="251"/>
      <c r="AC86" s="251"/>
      <c r="AD86" s="251"/>
      <c r="AE86" s="251"/>
      <c r="AF86" s="251"/>
      <c r="AG86" s="251"/>
      <c r="AH86" s="251"/>
      <c r="AI86" s="251"/>
      <c r="AJ86" s="251"/>
      <c r="AK86" s="251"/>
      <c r="AL86" s="251"/>
      <c r="AM86" s="251"/>
      <c r="AN86" s="251"/>
      <c r="AO86" s="251"/>
      <c r="AP86" s="251"/>
      <c r="AR86" s="251"/>
    </row>
    <row r="87" spans="1:44" ht="18">
      <c r="A87" s="251"/>
      <c r="B87" s="251"/>
      <c r="C87" s="251"/>
      <c r="D87" s="251"/>
      <c r="E87" s="251"/>
      <c r="F87" s="251"/>
      <c r="G87" s="251"/>
      <c r="H87" s="251"/>
      <c r="I87" s="251"/>
      <c r="J87" s="251"/>
      <c r="K87" s="251"/>
      <c r="L87" s="251"/>
      <c r="M87" s="251"/>
      <c r="N87" s="251"/>
      <c r="O87" s="251"/>
      <c r="P87" s="251"/>
      <c r="Q87" s="251"/>
      <c r="R87" s="251"/>
      <c r="S87" s="251"/>
      <c r="T87" s="251"/>
      <c r="U87" s="251"/>
      <c r="V87" s="251"/>
      <c r="W87" s="251"/>
      <c r="X87" s="251"/>
      <c r="Y87" s="251"/>
      <c r="Z87" s="251"/>
      <c r="AA87" s="251"/>
      <c r="AB87" s="251"/>
      <c r="AC87" s="251"/>
      <c r="AD87" s="251"/>
      <c r="AE87" s="251"/>
      <c r="AF87" s="251"/>
      <c r="AG87" s="251"/>
      <c r="AH87" s="251"/>
      <c r="AI87" s="251"/>
      <c r="AJ87" s="251"/>
      <c r="AK87" s="251"/>
      <c r="AL87" s="251"/>
      <c r="AM87" s="251"/>
      <c r="AN87" s="251"/>
      <c r="AO87" s="251"/>
      <c r="AP87" s="251"/>
      <c r="AR87" s="251"/>
    </row>
    <row r="88" spans="1:44" ht="18">
      <c r="A88" s="251"/>
      <c r="B88" s="251"/>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R88" s="251"/>
    </row>
    <row r="89" spans="1:44" ht="18">
      <c r="A89" s="251"/>
      <c r="B89" s="251"/>
      <c r="C89" s="251"/>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R89" s="251"/>
    </row>
    <row r="90" spans="1:44" ht="18">
      <c r="A90" s="251"/>
      <c r="B90" s="251"/>
      <c r="C90" s="251"/>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R90" s="251"/>
    </row>
    <row r="91" spans="1:44" ht="18">
      <c r="A91" s="251"/>
      <c r="B91" s="251"/>
      <c r="C91" s="251"/>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R91" s="251"/>
    </row>
    <row r="92" spans="1:44" ht="18">
      <c r="A92" s="251"/>
      <c r="B92" s="251"/>
      <c r="C92" s="251"/>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R92" s="251"/>
    </row>
    <row r="93" spans="1:44" ht="18">
      <c r="A93" s="251"/>
      <c r="B93" s="251"/>
      <c r="C93" s="251"/>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R93" s="251"/>
    </row>
    <row r="94" spans="1:44" ht="18">
      <c r="A94" s="251"/>
      <c r="B94" s="251"/>
      <c r="C94" s="251"/>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R94" s="251"/>
    </row>
    <row r="95" spans="1:44" ht="18">
      <c r="A95" s="251"/>
      <c r="B95" s="251"/>
      <c r="C95" s="251"/>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R95" s="251"/>
    </row>
    <row r="96" spans="1:44" ht="18">
      <c r="A96" s="251"/>
      <c r="B96" s="251"/>
      <c r="C96" s="251"/>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R96" s="251"/>
    </row>
    <row r="97" spans="1:44" ht="18">
      <c r="A97" s="251"/>
      <c r="B97" s="251"/>
      <c r="C97" s="251"/>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R97" s="251"/>
    </row>
    <row r="98" spans="1:44" ht="18">
      <c r="A98" s="251"/>
      <c r="B98" s="251"/>
      <c r="C98" s="251"/>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R98" s="251"/>
    </row>
    <row r="99" spans="1:44" ht="18">
      <c r="A99" s="251"/>
      <c r="B99" s="251"/>
      <c r="C99" s="251"/>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R99" s="251"/>
    </row>
    <row r="100" spans="1:44" ht="18">
      <c r="A100" s="251"/>
      <c r="B100" s="251"/>
      <c r="C100" s="251"/>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R100" s="251"/>
    </row>
    <row r="101" spans="1:44" ht="18">
      <c r="A101" s="251"/>
      <c r="B101" s="251"/>
      <c r="C101" s="251"/>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R101" s="251"/>
    </row>
    <row r="102" spans="1:44" ht="18">
      <c r="A102" s="251"/>
      <c r="B102" s="251"/>
      <c r="C102" s="251"/>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R102" s="251"/>
    </row>
    <row r="103" spans="1:44" ht="18">
      <c r="A103" s="251"/>
      <c r="B103" s="251"/>
      <c r="C103" s="251"/>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R103" s="251"/>
    </row>
    <row r="104" spans="1:44" ht="18">
      <c r="A104" s="251"/>
      <c r="B104" s="251"/>
      <c r="C104" s="251"/>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R104" s="251"/>
    </row>
    <row r="105" spans="1:44" ht="18">
      <c r="A105" s="251"/>
      <c r="B105" s="251"/>
      <c r="C105" s="251"/>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R105" s="251"/>
    </row>
    <row r="106" spans="1:44" ht="18">
      <c r="A106" s="251"/>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R106" s="251"/>
    </row>
    <row r="107" spans="1:44" ht="18">
      <c r="A107" s="251"/>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R107" s="251"/>
    </row>
    <row r="108" spans="1:44" ht="18">
      <c r="A108" s="251"/>
      <c r="B108" s="251"/>
      <c r="C108" s="251"/>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R108" s="251"/>
    </row>
    <row r="109" spans="1:44" ht="18">
      <c r="A109" s="251"/>
      <c r="B109" s="251"/>
      <c r="C109" s="251"/>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R109" s="251"/>
    </row>
    <row r="110" spans="1:44" ht="18">
      <c r="A110" s="251"/>
      <c r="B110" s="251"/>
      <c r="C110" s="251"/>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R110" s="251"/>
    </row>
    <row r="111" spans="1:44" ht="18">
      <c r="A111" s="251"/>
      <c r="B111" s="251"/>
      <c r="C111" s="251"/>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R111" s="251"/>
    </row>
    <row r="112" spans="1:44" ht="18">
      <c r="A112" s="251"/>
      <c r="B112" s="251"/>
      <c r="C112" s="251"/>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R112" s="251"/>
    </row>
    <row r="113" spans="1:44" ht="18">
      <c r="A113" s="251"/>
      <c r="B113" s="251"/>
      <c r="C113" s="251"/>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R113" s="251"/>
    </row>
    <row r="114" spans="1:44" ht="18">
      <c r="A114" s="251"/>
      <c r="B114" s="251"/>
      <c r="C114" s="251"/>
      <c r="D114" s="251"/>
      <c r="E114" s="251"/>
      <c r="F114" s="251"/>
      <c r="G114" s="251"/>
      <c r="H114" s="251"/>
      <c r="I114" s="251"/>
      <c r="J114" s="251"/>
      <c r="K114" s="251"/>
      <c r="L114" s="251"/>
      <c r="M114" s="251"/>
      <c r="N114" s="251"/>
      <c r="O114" s="251"/>
      <c r="P114" s="251"/>
      <c r="Q114" s="251"/>
      <c r="R114" s="251"/>
      <c r="S114" s="251"/>
      <c r="T114" s="251"/>
      <c r="U114" s="251"/>
      <c r="V114" s="251"/>
      <c r="W114" s="251"/>
      <c r="X114" s="251"/>
      <c r="Y114" s="251"/>
      <c r="Z114" s="251"/>
      <c r="AA114" s="251"/>
      <c r="AB114" s="251"/>
      <c r="AC114" s="251"/>
      <c r="AD114" s="251"/>
      <c r="AE114" s="251"/>
      <c r="AF114" s="251"/>
      <c r="AG114" s="251"/>
      <c r="AH114" s="251"/>
      <c r="AI114" s="251"/>
      <c r="AJ114" s="251"/>
      <c r="AK114" s="251"/>
      <c r="AL114" s="251"/>
      <c r="AM114" s="251"/>
      <c r="AN114" s="251"/>
      <c r="AO114" s="251"/>
      <c r="AP114" s="251"/>
      <c r="AR114" s="251"/>
    </row>
    <row r="115" spans="1:44" ht="18">
      <c r="A115" s="251"/>
      <c r="B115" s="251"/>
      <c r="C115" s="251"/>
      <c r="D115" s="251"/>
      <c r="E115" s="251"/>
      <c r="F115" s="251"/>
      <c r="G115" s="251"/>
      <c r="H115" s="251"/>
      <c r="I115" s="251"/>
      <c r="J115" s="251"/>
      <c r="K115" s="251"/>
      <c r="L115" s="251"/>
      <c r="M115" s="251"/>
      <c r="N115" s="251"/>
      <c r="O115" s="251"/>
      <c r="P115" s="251"/>
      <c r="Q115" s="251"/>
      <c r="R115" s="251"/>
      <c r="S115" s="251"/>
      <c r="T115" s="251"/>
      <c r="U115" s="251"/>
      <c r="V115" s="251"/>
      <c r="W115" s="251"/>
      <c r="X115" s="251"/>
      <c r="Y115" s="251"/>
      <c r="Z115" s="251"/>
      <c r="AA115" s="251"/>
      <c r="AB115" s="251"/>
      <c r="AC115" s="251"/>
      <c r="AD115" s="251"/>
      <c r="AE115" s="251"/>
      <c r="AF115" s="251"/>
      <c r="AG115" s="251"/>
      <c r="AH115" s="251"/>
      <c r="AI115" s="251"/>
      <c r="AJ115" s="251"/>
      <c r="AK115" s="251"/>
      <c r="AL115" s="251"/>
      <c r="AM115" s="251"/>
      <c r="AN115" s="251"/>
      <c r="AO115" s="251"/>
      <c r="AP115" s="251"/>
      <c r="AR115" s="251"/>
    </row>
    <row r="116" spans="1:44" ht="18">
      <c r="A116" s="251"/>
      <c r="B116" s="251"/>
      <c r="C116" s="251"/>
      <c r="D116" s="251"/>
      <c r="E116" s="251"/>
      <c r="F116" s="251"/>
      <c r="G116" s="251"/>
      <c r="H116" s="251"/>
      <c r="I116" s="251"/>
      <c r="J116" s="251"/>
      <c r="K116" s="251"/>
      <c r="L116" s="251"/>
      <c r="M116" s="251"/>
      <c r="N116" s="251"/>
      <c r="O116" s="251"/>
      <c r="P116" s="251"/>
      <c r="Q116" s="251"/>
      <c r="R116" s="251"/>
      <c r="S116" s="251"/>
      <c r="T116" s="251"/>
      <c r="U116" s="251"/>
      <c r="V116" s="251"/>
      <c r="W116" s="251"/>
      <c r="X116" s="251"/>
      <c r="Y116" s="251"/>
      <c r="Z116" s="251"/>
      <c r="AA116" s="251"/>
      <c r="AB116" s="251"/>
      <c r="AC116" s="251"/>
      <c r="AD116" s="251"/>
      <c r="AE116" s="251"/>
      <c r="AF116" s="251"/>
      <c r="AG116" s="251"/>
      <c r="AH116" s="251"/>
      <c r="AI116" s="251"/>
      <c r="AJ116" s="251"/>
      <c r="AK116" s="251"/>
      <c r="AL116" s="251"/>
      <c r="AM116" s="251"/>
      <c r="AN116" s="251"/>
      <c r="AO116" s="251"/>
      <c r="AP116" s="251"/>
      <c r="AR116" s="251"/>
    </row>
    <row r="117" spans="1:44" ht="18">
      <c r="A117" s="251"/>
      <c r="B117" s="251"/>
      <c r="C117" s="251"/>
      <c r="D117" s="251"/>
      <c r="E117" s="251"/>
      <c r="F117" s="251"/>
      <c r="G117" s="251"/>
      <c r="H117" s="251"/>
      <c r="I117" s="251"/>
      <c r="J117" s="251"/>
      <c r="K117" s="251"/>
      <c r="L117" s="251"/>
      <c r="M117" s="251"/>
      <c r="N117" s="251"/>
      <c r="O117" s="251"/>
      <c r="P117" s="251"/>
      <c r="Q117" s="251"/>
      <c r="R117" s="251"/>
      <c r="S117" s="251"/>
      <c r="T117" s="251"/>
      <c r="U117" s="251"/>
      <c r="V117" s="251"/>
      <c r="W117" s="251"/>
      <c r="X117" s="251"/>
      <c r="Y117" s="251"/>
      <c r="Z117" s="251"/>
      <c r="AA117" s="251"/>
      <c r="AB117" s="251"/>
      <c r="AC117" s="251"/>
      <c r="AD117" s="251"/>
      <c r="AE117" s="251"/>
      <c r="AF117" s="251"/>
      <c r="AG117" s="251"/>
      <c r="AH117" s="251"/>
      <c r="AI117" s="251"/>
      <c r="AJ117" s="251"/>
      <c r="AK117" s="251"/>
      <c r="AL117" s="251"/>
      <c r="AM117" s="251"/>
      <c r="AN117" s="251"/>
      <c r="AO117" s="251"/>
      <c r="AP117" s="251"/>
      <c r="AR117" s="251"/>
    </row>
    <row r="118" spans="1:44" ht="18">
      <c r="A118" s="251"/>
      <c r="B118" s="251"/>
      <c r="C118" s="251"/>
      <c r="D118" s="251"/>
      <c r="E118" s="251"/>
      <c r="F118" s="251"/>
      <c r="G118" s="251"/>
      <c r="H118" s="251"/>
      <c r="I118" s="251"/>
      <c r="J118" s="251"/>
      <c r="K118" s="251"/>
      <c r="L118" s="251"/>
      <c r="M118" s="251"/>
      <c r="N118" s="251"/>
      <c r="O118" s="251"/>
      <c r="P118" s="251"/>
      <c r="Q118" s="251"/>
      <c r="R118" s="251"/>
      <c r="S118" s="251"/>
      <c r="T118" s="251"/>
      <c r="U118" s="251"/>
      <c r="V118" s="251"/>
      <c r="W118" s="251"/>
      <c r="X118" s="251"/>
      <c r="Y118" s="251"/>
      <c r="Z118" s="251"/>
      <c r="AA118" s="251"/>
      <c r="AB118" s="251"/>
      <c r="AC118" s="251"/>
      <c r="AD118" s="251"/>
      <c r="AE118" s="251"/>
      <c r="AF118" s="251"/>
      <c r="AG118" s="251"/>
      <c r="AH118" s="251"/>
      <c r="AI118" s="251"/>
      <c r="AJ118" s="251"/>
      <c r="AK118" s="251"/>
      <c r="AL118" s="251"/>
      <c r="AM118" s="251"/>
      <c r="AN118" s="251"/>
      <c r="AO118" s="251"/>
      <c r="AP118" s="251"/>
      <c r="AR118" s="251"/>
    </row>
    <row r="119" spans="1:44" ht="18">
      <c r="A119" s="251"/>
      <c r="B119" s="251"/>
      <c r="C119" s="251"/>
      <c r="D119" s="251"/>
      <c r="E119" s="251"/>
      <c r="F119" s="251"/>
      <c r="G119" s="251"/>
      <c r="H119" s="251"/>
      <c r="I119" s="251"/>
      <c r="J119" s="251"/>
      <c r="K119" s="251"/>
      <c r="L119" s="251"/>
      <c r="M119" s="251"/>
      <c r="N119" s="251"/>
      <c r="O119" s="251"/>
      <c r="P119" s="251"/>
      <c r="Q119" s="251"/>
      <c r="R119" s="251"/>
      <c r="S119" s="251"/>
      <c r="T119" s="251"/>
      <c r="U119" s="251"/>
      <c r="V119" s="251"/>
      <c r="W119" s="251"/>
      <c r="X119" s="251"/>
      <c r="Y119" s="251"/>
      <c r="Z119" s="251"/>
      <c r="AA119" s="251"/>
      <c r="AB119" s="251"/>
      <c r="AC119" s="251"/>
      <c r="AD119" s="251"/>
      <c r="AE119" s="251"/>
      <c r="AF119" s="251"/>
      <c r="AG119" s="251"/>
      <c r="AH119" s="251"/>
      <c r="AI119" s="251"/>
      <c r="AJ119" s="251"/>
      <c r="AK119" s="251"/>
      <c r="AL119" s="251"/>
      <c r="AM119" s="251"/>
      <c r="AN119" s="251"/>
      <c r="AO119" s="251"/>
      <c r="AP119" s="251"/>
      <c r="AR119" s="251"/>
    </row>
    <row r="120" spans="1:44" ht="18">
      <c r="A120" s="251"/>
      <c r="B120" s="251"/>
      <c r="C120" s="251"/>
      <c r="D120" s="251"/>
      <c r="E120" s="251"/>
      <c r="F120" s="251"/>
      <c r="G120" s="251"/>
      <c r="H120" s="251"/>
      <c r="I120" s="251"/>
      <c r="J120" s="251"/>
      <c r="K120" s="251"/>
      <c r="L120" s="251"/>
      <c r="M120" s="251"/>
      <c r="N120" s="251"/>
      <c r="O120" s="251"/>
      <c r="P120" s="251"/>
      <c r="Q120" s="251"/>
      <c r="R120" s="251"/>
      <c r="S120" s="251"/>
      <c r="T120" s="251"/>
      <c r="U120" s="251"/>
      <c r="V120" s="251"/>
      <c r="W120" s="251"/>
      <c r="X120" s="251"/>
      <c r="Y120" s="251"/>
      <c r="Z120" s="251"/>
      <c r="AA120" s="251"/>
      <c r="AB120" s="251"/>
      <c r="AC120" s="251"/>
      <c r="AD120" s="251"/>
      <c r="AE120" s="251"/>
      <c r="AF120" s="251"/>
      <c r="AG120" s="251"/>
      <c r="AH120" s="251"/>
      <c r="AI120" s="251"/>
      <c r="AJ120" s="251"/>
      <c r="AK120" s="251"/>
      <c r="AL120" s="251"/>
      <c r="AM120" s="251"/>
      <c r="AN120" s="251"/>
      <c r="AO120" s="251"/>
      <c r="AP120" s="251"/>
      <c r="AR120" s="251"/>
    </row>
    <row r="121" spans="1:44" ht="18">
      <c r="A121" s="251"/>
      <c r="B121" s="251"/>
      <c r="C121" s="251"/>
      <c r="D121" s="251"/>
      <c r="E121" s="251"/>
      <c r="F121" s="251"/>
      <c r="G121" s="251"/>
      <c r="H121" s="251"/>
      <c r="I121" s="251"/>
      <c r="J121" s="251"/>
      <c r="K121" s="251"/>
      <c r="L121" s="251"/>
      <c r="M121" s="251"/>
      <c r="N121" s="251"/>
      <c r="O121" s="251"/>
      <c r="P121" s="251"/>
      <c r="Q121" s="251"/>
      <c r="R121" s="251"/>
      <c r="S121" s="251"/>
      <c r="T121" s="251"/>
      <c r="U121" s="251"/>
      <c r="V121" s="251"/>
      <c r="W121" s="251"/>
      <c r="X121" s="251"/>
      <c r="Y121" s="251"/>
      <c r="Z121" s="251"/>
      <c r="AA121" s="251"/>
      <c r="AB121" s="251"/>
      <c r="AC121" s="251"/>
      <c r="AD121" s="251"/>
      <c r="AE121" s="251"/>
      <c r="AF121" s="251"/>
      <c r="AG121" s="251"/>
      <c r="AH121" s="251"/>
      <c r="AI121" s="251"/>
      <c r="AJ121" s="251"/>
      <c r="AK121" s="251"/>
      <c r="AL121" s="251"/>
      <c r="AM121" s="251"/>
      <c r="AN121" s="251"/>
      <c r="AO121" s="251"/>
      <c r="AP121" s="251"/>
      <c r="AR121" s="251"/>
    </row>
    <row r="122" spans="1:44" ht="18">
      <c r="A122" s="251"/>
      <c r="B122" s="251"/>
      <c r="C122" s="251"/>
      <c r="D122" s="251"/>
      <c r="E122" s="251"/>
      <c r="F122" s="251"/>
      <c r="G122" s="251"/>
      <c r="H122" s="251"/>
      <c r="I122" s="251"/>
      <c r="J122" s="251"/>
      <c r="K122" s="251"/>
      <c r="L122" s="251"/>
      <c r="M122" s="251"/>
      <c r="N122" s="251"/>
      <c r="O122" s="251"/>
      <c r="P122" s="251"/>
      <c r="Q122" s="251"/>
      <c r="R122" s="251"/>
      <c r="S122" s="251"/>
      <c r="T122" s="251"/>
      <c r="U122" s="251"/>
      <c r="V122" s="251"/>
      <c r="W122" s="251"/>
      <c r="X122" s="251"/>
      <c r="Y122" s="251"/>
      <c r="Z122" s="251"/>
      <c r="AA122" s="251"/>
      <c r="AB122" s="251"/>
      <c r="AC122" s="251"/>
      <c r="AD122" s="251"/>
      <c r="AE122" s="251"/>
      <c r="AF122" s="251"/>
      <c r="AG122" s="251"/>
      <c r="AH122" s="251"/>
      <c r="AI122" s="251"/>
      <c r="AJ122" s="251"/>
      <c r="AK122" s="251"/>
      <c r="AL122" s="251"/>
      <c r="AM122" s="251"/>
      <c r="AN122" s="251"/>
      <c r="AO122" s="251"/>
      <c r="AP122" s="251"/>
      <c r="AR122" s="251"/>
    </row>
    <row r="123" spans="1:44" ht="18">
      <c r="A123" s="251"/>
      <c r="B123" s="251"/>
      <c r="C123" s="251"/>
      <c r="D123" s="251"/>
      <c r="E123" s="251"/>
      <c r="F123" s="251"/>
      <c r="G123" s="251"/>
      <c r="H123" s="251"/>
      <c r="I123" s="251"/>
      <c r="J123" s="251"/>
      <c r="K123" s="251"/>
      <c r="L123" s="251"/>
      <c r="M123" s="251"/>
      <c r="N123" s="251"/>
      <c r="O123" s="251"/>
      <c r="P123" s="251"/>
      <c r="Q123" s="251"/>
      <c r="R123" s="251"/>
      <c r="S123" s="251"/>
      <c r="T123" s="251"/>
      <c r="U123" s="251"/>
      <c r="V123" s="251"/>
      <c r="W123" s="251"/>
      <c r="X123" s="251"/>
      <c r="Y123" s="251"/>
      <c r="Z123" s="251"/>
      <c r="AA123" s="251"/>
      <c r="AB123" s="251"/>
      <c r="AC123" s="251"/>
      <c r="AD123" s="251"/>
      <c r="AE123" s="251"/>
      <c r="AF123" s="251"/>
      <c r="AG123" s="251"/>
      <c r="AH123" s="251"/>
      <c r="AI123" s="251"/>
      <c r="AJ123" s="251"/>
      <c r="AK123" s="251"/>
      <c r="AL123" s="251"/>
      <c r="AM123" s="251"/>
      <c r="AN123" s="251"/>
      <c r="AO123" s="251"/>
      <c r="AP123" s="251"/>
      <c r="AR123" s="251"/>
    </row>
    <row r="124" spans="1:44" ht="18">
      <c r="A124" s="251"/>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251"/>
      <c r="AM124" s="251"/>
      <c r="AN124" s="251"/>
      <c r="AO124" s="251"/>
      <c r="AP124" s="251"/>
      <c r="AR124" s="251"/>
    </row>
    <row r="125" spans="1:44" ht="18">
      <c r="A125" s="251"/>
      <c r="B125" s="251"/>
      <c r="C125" s="251"/>
      <c r="D125" s="251"/>
      <c r="E125" s="251"/>
      <c r="F125" s="251"/>
      <c r="G125" s="251"/>
      <c r="H125" s="251"/>
      <c r="I125" s="251"/>
      <c r="J125" s="251"/>
      <c r="K125" s="251"/>
      <c r="L125" s="251"/>
      <c r="M125" s="251"/>
      <c r="N125" s="251"/>
      <c r="O125" s="251"/>
      <c r="P125" s="251"/>
      <c r="Q125" s="251"/>
      <c r="R125" s="251"/>
      <c r="S125" s="251"/>
      <c r="T125" s="251"/>
      <c r="U125" s="251"/>
      <c r="V125" s="251"/>
      <c r="W125" s="251"/>
      <c r="X125" s="251"/>
      <c r="Y125" s="251"/>
      <c r="Z125" s="251"/>
      <c r="AA125" s="251"/>
      <c r="AB125" s="251"/>
      <c r="AC125" s="251"/>
      <c r="AD125" s="251"/>
      <c r="AE125" s="251"/>
      <c r="AF125" s="251"/>
      <c r="AG125" s="251"/>
      <c r="AH125" s="251"/>
      <c r="AI125" s="251"/>
      <c r="AJ125" s="251"/>
      <c r="AK125" s="251"/>
      <c r="AL125" s="251"/>
      <c r="AM125" s="251"/>
      <c r="AN125" s="251"/>
      <c r="AO125" s="251"/>
      <c r="AP125" s="251"/>
      <c r="AR125" s="251"/>
    </row>
    <row r="126" spans="1:44" ht="18">
      <c r="A126" s="251"/>
      <c r="B126" s="251"/>
      <c r="C126" s="251"/>
      <c r="D126" s="251"/>
      <c r="E126" s="251"/>
      <c r="F126" s="251"/>
      <c r="G126" s="251"/>
      <c r="H126" s="251"/>
      <c r="I126" s="251"/>
      <c r="J126" s="251"/>
      <c r="K126" s="251"/>
      <c r="L126" s="251"/>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51"/>
      <c r="AN126" s="251"/>
      <c r="AO126" s="251"/>
      <c r="AP126" s="251"/>
      <c r="AR126" s="251"/>
    </row>
    <row r="127" spans="1:44" ht="18">
      <c r="A127" s="251"/>
      <c r="B127" s="251"/>
      <c r="C127" s="251"/>
      <c r="D127" s="251"/>
      <c r="E127" s="251"/>
      <c r="F127" s="251"/>
      <c r="G127" s="251"/>
      <c r="H127" s="251"/>
      <c r="I127" s="251"/>
      <c r="J127" s="251"/>
      <c r="K127" s="251"/>
      <c r="L127" s="251"/>
      <c r="M127" s="251"/>
      <c r="N127" s="251"/>
      <c r="O127" s="251"/>
      <c r="P127" s="251"/>
      <c r="Q127" s="251"/>
      <c r="R127" s="251"/>
      <c r="S127" s="251"/>
      <c r="T127" s="251"/>
      <c r="U127" s="251"/>
      <c r="V127" s="251"/>
      <c r="W127" s="251"/>
      <c r="X127" s="251"/>
      <c r="Y127" s="251"/>
      <c r="Z127" s="251"/>
      <c r="AA127" s="251"/>
      <c r="AB127" s="251"/>
      <c r="AC127" s="251"/>
      <c r="AD127" s="251"/>
      <c r="AE127" s="251"/>
      <c r="AF127" s="251"/>
      <c r="AG127" s="251"/>
      <c r="AH127" s="251"/>
      <c r="AI127" s="251"/>
      <c r="AJ127" s="251"/>
      <c r="AK127" s="251"/>
      <c r="AL127" s="251"/>
      <c r="AM127" s="251"/>
      <c r="AN127" s="251"/>
      <c r="AO127" s="251"/>
      <c r="AP127" s="251"/>
      <c r="AR127" s="251"/>
    </row>
    <row r="128" spans="1:44" ht="18">
      <c r="A128" s="251"/>
      <c r="B128" s="251"/>
      <c r="C128" s="251"/>
      <c r="D128" s="251"/>
      <c r="E128" s="251"/>
      <c r="F128" s="251"/>
      <c r="G128" s="251"/>
      <c r="H128" s="251"/>
      <c r="I128" s="251"/>
      <c r="J128" s="251"/>
      <c r="K128" s="251"/>
      <c r="L128" s="251"/>
      <c r="M128" s="251"/>
      <c r="N128" s="251"/>
      <c r="O128" s="251"/>
      <c r="P128" s="251"/>
      <c r="Q128" s="251"/>
      <c r="R128" s="251"/>
      <c r="S128" s="251"/>
      <c r="T128" s="251"/>
      <c r="U128" s="251"/>
      <c r="V128" s="251"/>
      <c r="W128" s="251"/>
      <c r="X128" s="251"/>
      <c r="Y128" s="251"/>
      <c r="Z128" s="251"/>
      <c r="AA128" s="251"/>
      <c r="AB128" s="251"/>
      <c r="AC128" s="251"/>
      <c r="AD128" s="251"/>
      <c r="AE128" s="251"/>
      <c r="AF128" s="251"/>
      <c r="AG128" s="251"/>
      <c r="AH128" s="251"/>
      <c r="AI128" s="251"/>
      <c r="AJ128" s="251"/>
      <c r="AK128" s="251"/>
      <c r="AL128" s="251"/>
      <c r="AM128" s="251"/>
      <c r="AN128" s="251"/>
      <c r="AO128" s="251"/>
      <c r="AP128" s="251"/>
      <c r="AR128" s="251"/>
    </row>
    <row r="129" spans="1:44" ht="18">
      <c r="A129" s="251"/>
      <c r="B129" s="251"/>
      <c r="C129" s="251"/>
      <c r="D129" s="251"/>
      <c r="E129" s="251"/>
      <c r="F129" s="251"/>
      <c r="G129" s="251"/>
      <c r="H129" s="251"/>
      <c r="I129" s="251"/>
      <c r="J129" s="251"/>
      <c r="K129" s="251"/>
      <c r="L129" s="251"/>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251"/>
      <c r="AN129" s="251"/>
      <c r="AO129" s="251"/>
      <c r="AP129" s="251"/>
      <c r="AR129" s="251"/>
    </row>
    <row r="130" spans="1:44" ht="18">
      <c r="A130" s="251"/>
      <c r="B130" s="251"/>
      <c r="C130" s="251"/>
      <c r="D130" s="251"/>
      <c r="E130" s="251"/>
      <c r="F130" s="251"/>
      <c r="G130" s="251"/>
      <c r="H130" s="251"/>
      <c r="I130" s="251"/>
      <c r="J130" s="251"/>
      <c r="K130" s="251"/>
      <c r="L130" s="251"/>
      <c r="M130" s="251"/>
      <c r="N130" s="251"/>
      <c r="O130" s="251"/>
      <c r="P130" s="251"/>
      <c r="Q130" s="251"/>
      <c r="R130" s="251"/>
      <c r="S130" s="251"/>
      <c r="T130" s="251"/>
      <c r="U130" s="251"/>
      <c r="V130" s="251"/>
      <c r="W130" s="251"/>
      <c r="X130" s="251"/>
      <c r="Y130" s="251"/>
      <c r="Z130" s="251"/>
      <c r="AA130" s="251"/>
      <c r="AB130" s="251"/>
      <c r="AC130" s="251"/>
      <c r="AD130" s="251"/>
      <c r="AE130" s="251"/>
      <c r="AF130" s="251"/>
      <c r="AG130" s="251"/>
      <c r="AH130" s="251"/>
      <c r="AI130" s="251"/>
      <c r="AJ130" s="251"/>
      <c r="AK130" s="251"/>
      <c r="AL130" s="251"/>
      <c r="AM130" s="251"/>
      <c r="AN130" s="251"/>
      <c r="AO130" s="251"/>
      <c r="AP130" s="251"/>
      <c r="AR130" s="251"/>
    </row>
    <row r="131" spans="1:44" ht="18">
      <c r="A131" s="251"/>
      <c r="B131" s="251"/>
      <c r="C131" s="251"/>
      <c r="D131" s="251"/>
      <c r="E131" s="251"/>
      <c r="F131" s="251"/>
      <c r="G131" s="251"/>
      <c r="H131" s="251"/>
      <c r="I131" s="251"/>
      <c r="J131" s="251"/>
      <c r="K131" s="251"/>
      <c r="L131" s="251"/>
      <c r="M131" s="251"/>
      <c r="N131" s="251"/>
      <c r="O131" s="251"/>
      <c r="P131" s="251"/>
      <c r="Q131" s="251"/>
      <c r="R131" s="251"/>
      <c r="S131" s="251"/>
      <c r="T131" s="251"/>
      <c r="U131" s="251"/>
      <c r="V131" s="251"/>
      <c r="W131" s="251"/>
      <c r="X131" s="251"/>
      <c r="Y131" s="251"/>
      <c r="Z131" s="251"/>
      <c r="AA131" s="251"/>
      <c r="AB131" s="251"/>
      <c r="AC131" s="251"/>
      <c r="AD131" s="251"/>
      <c r="AE131" s="251"/>
      <c r="AF131" s="251"/>
      <c r="AG131" s="251"/>
      <c r="AH131" s="251"/>
      <c r="AI131" s="251"/>
      <c r="AJ131" s="251"/>
      <c r="AK131" s="251"/>
      <c r="AL131" s="251"/>
      <c r="AM131" s="251"/>
      <c r="AN131" s="251"/>
      <c r="AO131" s="251"/>
      <c r="AP131" s="251"/>
      <c r="AR131" s="251"/>
    </row>
    <row r="132" spans="1:44" ht="18">
      <c r="A132" s="251"/>
      <c r="B132" s="251"/>
      <c r="C132" s="251"/>
      <c r="D132" s="251"/>
      <c r="E132" s="251"/>
      <c r="F132" s="251"/>
      <c r="G132" s="251"/>
      <c r="H132" s="251"/>
      <c r="I132" s="251"/>
      <c r="J132" s="251"/>
      <c r="K132" s="251"/>
      <c r="L132" s="251"/>
      <c r="M132" s="251"/>
      <c r="N132" s="251"/>
      <c r="O132" s="251"/>
      <c r="P132" s="251"/>
      <c r="Q132" s="251"/>
      <c r="R132" s="251"/>
      <c r="S132" s="251"/>
      <c r="T132" s="251"/>
      <c r="U132" s="251"/>
      <c r="V132" s="251"/>
      <c r="W132" s="251"/>
      <c r="X132" s="251"/>
      <c r="Y132" s="251"/>
      <c r="Z132" s="251"/>
      <c r="AA132" s="251"/>
      <c r="AB132" s="251"/>
      <c r="AC132" s="251"/>
      <c r="AD132" s="251"/>
      <c r="AE132" s="251"/>
      <c r="AF132" s="251"/>
      <c r="AG132" s="251"/>
      <c r="AH132" s="251"/>
      <c r="AI132" s="251"/>
      <c r="AJ132" s="251"/>
      <c r="AK132" s="251"/>
      <c r="AL132" s="251"/>
      <c r="AM132" s="251"/>
      <c r="AN132" s="251"/>
      <c r="AO132" s="251"/>
      <c r="AP132" s="251"/>
      <c r="AR132" s="251"/>
    </row>
    <row r="133" spans="1:44" ht="18">
      <c r="A133" s="251"/>
      <c r="B133" s="251"/>
      <c r="C133" s="251"/>
      <c r="D133" s="251"/>
      <c r="E133" s="251"/>
      <c r="F133" s="251"/>
      <c r="G133" s="251"/>
      <c r="H133" s="251"/>
      <c r="I133" s="251"/>
      <c r="J133" s="251"/>
      <c r="K133" s="251"/>
      <c r="L133" s="251"/>
      <c r="M133" s="251"/>
      <c r="N133" s="251"/>
      <c r="O133" s="251"/>
      <c r="P133" s="251"/>
      <c r="Q133" s="251"/>
      <c r="R133" s="251"/>
      <c r="S133" s="251"/>
      <c r="T133" s="251"/>
      <c r="U133" s="251"/>
      <c r="V133" s="251"/>
      <c r="W133" s="251"/>
      <c r="X133" s="251"/>
      <c r="Y133" s="251"/>
      <c r="Z133" s="251"/>
      <c r="AA133" s="251"/>
      <c r="AB133" s="251"/>
      <c r="AC133" s="251"/>
      <c r="AD133" s="251"/>
      <c r="AE133" s="251"/>
      <c r="AF133" s="251"/>
      <c r="AG133" s="251"/>
      <c r="AH133" s="251"/>
      <c r="AI133" s="251"/>
      <c r="AJ133" s="251"/>
      <c r="AK133" s="251"/>
      <c r="AL133" s="251"/>
      <c r="AM133" s="251"/>
      <c r="AN133" s="251"/>
      <c r="AO133" s="251"/>
      <c r="AP133" s="251"/>
      <c r="AR133" s="251"/>
    </row>
    <row r="134" spans="1:44" ht="18">
      <c r="A134" s="251"/>
      <c r="B134" s="251"/>
      <c r="C134" s="251"/>
      <c r="D134" s="251"/>
      <c r="E134" s="251"/>
      <c r="F134" s="251"/>
      <c r="G134" s="251"/>
      <c r="H134" s="251"/>
      <c r="I134" s="251"/>
      <c r="J134" s="251"/>
      <c r="K134" s="251"/>
      <c r="L134" s="251"/>
      <c r="M134" s="251"/>
      <c r="N134" s="251"/>
      <c r="O134" s="251"/>
      <c r="P134" s="251"/>
      <c r="Q134" s="251"/>
      <c r="R134" s="251"/>
      <c r="S134" s="251"/>
      <c r="T134" s="251"/>
      <c r="U134" s="251"/>
      <c r="V134" s="251"/>
      <c r="W134" s="251"/>
      <c r="X134" s="251"/>
      <c r="Y134" s="251"/>
      <c r="Z134" s="251"/>
      <c r="AA134" s="251"/>
      <c r="AB134" s="251"/>
      <c r="AC134" s="251"/>
      <c r="AD134" s="251"/>
      <c r="AE134" s="251"/>
      <c r="AF134" s="251"/>
      <c r="AG134" s="251"/>
      <c r="AH134" s="251"/>
      <c r="AI134" s="251"/>
      <c r="AJ134" s="251"/>
      <c r="AK134" s="251"/>
      <c r="AL134" s="251"/>
      <c r="AM134" s="251"/>
      <c r="AN134" s="251"/>
      <c r="AO134" s="251"/>
      <c r="AP134" s="251"/>
      <c r="AR134" s="251"/>
    </row>
    <row r="135" spans="1:44" ht="18">
      <c r="A135" s="251"/>
      <c r="B135" s="251"/>
      <c r="C135" s="251"/>
      <c r="D135" s="251"/>
      <c r="E135" s="251"/>
      <c r="F135" s="251"/>
      <c r="G135" s="251"/>
      <c r="H135" s="251"/>
      <c r="I135" s="251"/>
      <c r="J135" s="251"/>
      <c r="K135" s="251"/>
      <c r="L135" s="251"/>
      <c r="M135" s="251"/>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251"/>
      <c r="AL135" s="251"/>
      <c r="AM135" s="251"/>
      <c r="AN135" s="251"/>
      <c r="AO135" s="251"/>
      <c r="AP135" s="251"/>
      <c r="AR135" s="251"/>
    </row>
    <row r="136" spans="1:44" ht="18">
      <c r="A136" s="251"/>
      <c r="B136" s="251"/>
      <c r="C136" s="251"/>
      <c r="D136" s="251"/>
      <c r="E136" s="251"/>
      <c r="F136" s="251"/>
      <c r="G136" s="251"/>
      <c r="H136" s="251"/>
      <c r="I136" s="251"/>
      <c r="J136" s="251"/>
      <c r="K136" s="251"/>
      <c r="L136" s="251"/>
      <c r="M136" s="251"/>
      <c r="N136" s="251"/>
      <c r="O136" s="251"/>
      <c r="P136" s="251"/>
      <c r="Q136" s="251"/>
      <c r="R136" s="251"/>
      <c r="S136" s="251"/>
      <c r="T136" s="251"/>
      <c r="U136" s="251"/>
      <c r="V136" s="251"/>
      <c r="W136" s="251"/>
      <c r="X136" s="251"/>
      <c r="Y136" s="251"/>
      <c r="Z136" s="251"/>
      <c r="AA136" s="251"/>
      <c r="AB136" s="251"/>
      <c r="AC136" s="251"/>
      <c r="AD136" s="251"/>
      <c r="AE136" s="251"/>
      <c r="AF136" s="251"/>
      <c r="AG136" s="251"/>
      <c r="AH136" s="251"/>
      <c r="AI136" s="251"/>
      <c r="AJ136" s="251"/>
      <c r="AK136" s="251"/>
      <c r="AL136" s="251"/>
      <c r="AM136" s="251"/>
      <c r="AN136" s="251"/>
      <c r="AO136" s="251"/>
      <c r="AP136" s="251"/>
      <c r="AR136" s="251"/>
    </row>
    <row r="137" spans="1:44" ht="18">
      <c r="A137" s="251"/>
      <c r="B137" s="251"/>
      <c r="C137" s="251"/>
      <c r="D137" s="251"/>
      <c r="E137" s="251"/>
      <c r="F137" s="251"/>
      <c r="G137" s="251"/>
      <c r="H137" s="251"/>
      <c r="I137" s="251"/>
      <c r="J137" s="251"/>
      <c r="K137" s="251"/>
      <c r="L137" s="251"/>
      <c r="M137" s="251"/>
      <c r="N137" s="251"/>
      <c r="O137" s="251"/>
      <c r="P137" s="251"/>
      <c r="Q137" s="251"/>
      <c r="R137" s="251"/>
      <c r="S137" s="251"/>
      <c r="T137" s="251"/>
      <c r="U137" s="251"/>
      <c r="V137" s="251"/>
      <c r="W137" s="251"/>
      <c r="X137" s="251"/>
      <c r="Y137" s="251"/>
      <c r="Z137" s="251"/>
      <c r="AA137" s="251"/>
      <c r="AB137" s="251"/>
      <c r="AC137" s="251"/>
      <c r="AD137" s="251"/>
      <c r="AE137" s="251"/>
      <c r="AF137" s="251"/>
      <c r="AG137" s="251"/>
      <c r="AH137" s="251"/>
      <c r="AI137" s="251"/>
      <c r="AJ137" s="251"/>
      <c r="AK137" s="251"/>
      <c r="AL137" s="251"/>
      <c r="AM137" s="251"/>
      <c r="AN137" s="251"/>
      <c r="AO137" s="251"/>
      <c r="AP137" s="251"/>
      <c r="AR137" s="251"/>
    </row>
    <row r="138" spans="1:44" ht="18">
      <c r="A138" s="251"/>
      <c r="B138" s="251"/>
      <c r="C138" s="251"/>
      <c r="D138" s="251"/>
      <c r="E138" s="251"/>
      <c r="F138" s="251"/>
      <c r="G138" s="251"/>
      <c r="H138" s="251"/>
      <c r="I138" s="251"/>
      <c r="J138" s="251"/>
      <c r="K138" s="251"/>
      <c r="L138" s="251"/>
      <c r="M138" s="251"/>
      <c r="N138" s="251"/>
      <c r="O138" s="251"/>
      <c r="P138" s="251"/>
      <c r="Q138" s="251"/>
      <c r="R138" s="251"/>
      <c r="S138" s="251"/>
      <c r="T138" s="251"/>
      <c r="U138" s="251"/>
      <c r="V138" s="251"/>
      <c r="W138" s="251"/>
      <c r="X138" s="251"/>
      <c r="Y138" s="251"/>
      <c r="Z138" s="251"/>
      <c r="AA138" s="251"/>
      <c r="AB138" s="251"/>
      <c r="AC138" s="251"/>
      <c r="AD138" s="251"/>
      <c r="AE138" s="251"/>
      <c r="AF138" s="251"/>
      <c r="AG138" s="251"/>
      <c r="AH138" s="251"/>
      <c r="AI138" s="251"/>
      <c r="AJ138" s="251"/>
      <c r="AK138" s="251"/>
      <c r="AL138" s="251"/>
      <c r="AM138" s="251"/>
      <c r="AN138" s="251"/>
      <c r="AO138" s="251"/>
      <c r="AP138" s="251"/>
      <c r="AR138" s="251"/>
    </row>
    <row r="139" spans="1:44" ht="18">
      <c r="A139" s="251"/>
      <c r="B139" s="251"/>
      <c r="C139" s="251"/>
      <c r="D139" s="251"/>
      <c r="E139" s="251"/>
      <c r="F139" s="251"/>
      <c r="G139" s="251"/>
      <c r="H139" s="251"/>
      <c r="I139" s="251"/>
      <c r="J139" s="251"/>
      <c r="K139" s="251"/>
      <c r="L139" s="251"/>
      <c r="M139" s="251"/>
      <c r="N139" s="251"/>
      <c r="O139" s="251"/>
      <c r="P139" s="251"/>
      <c r="Q139" s="251"/>
      <c r="R139" s="251"/>
      <c r="S139" s="251"/>
      <c r="T139" s="251"/>
      <c r="U139" s="251"/>
      <c r="V139" s="251"/>
      <c r="W139" s="251"/>
      <c r="X139" s="251"/>
      <c r="Y139" s="251"/>
      <c r="Z139" s="251"/>
      <c r="AA139" s="251"/>
      <c r="AB139" s="251"/>
      <c r="AC139" s="251"/>
      <c r="AD139" s="251"/>
      <c r="AE139" s="251"/>
      <c r="AF139" s="251"/>
      <c r="AG139" s="251"/>
      <c r="AH139" s="251"/>
      <c r="AI139" s="251"/>
      <c r="AJ139" s="251"/>
      <c r="AK139" s="251"/>
      <c r="AL139" s="251"/>
      <c r="AM139" s="251"/>
      <c r="AN139" s="251"/>
      <c r="AO139" s="251"/>
      <c r="AP139" s="251"/>
      <c r="AR139" s="251"/>
    </row>
    <row r="140" spans="1:44" ht="18">
      <c r="A140" s="251"/>
      <c r="B140" s="251"/>
      <c r="C140" s="251"/>
      <c r="D140" s="251"/>
      <c r="E140" s="251"/>
      <c r="F140" s="251"/>
      <c r="G140" s="251"/>
      <c r="H140" s="251"/>
      <c r="I140" s="251"/>
      <c r="J140" s="251"/>
      <c r="K140" s="251"/>
      <c r="L140" s="251"/>
      <c r="M140" s="251"/>
      <c r="N140" s="251"/>
      <c r="O140" s="251"/>
      <c r="P140" s="251"/>
      <c r="Q140" s="251"/>
      <c r="R140" s="251"/>
      <c r="S140" s="251"/>
      <c r="T140" s="251"/>
      <c r="U140" s="251"/>
      <c r="V140" s="251"/>
      <c r="W140" s="251"/>
      <c r="X140" s="251"/>
      <c r="Y140" s="251"/>
      <c r="Z140" s="251"/>
      <c r="AA140" s="251"/>
      <c r="AB140" s="251"/>
      <c r="AC140" s="251"/>
      <c r="AD140" s="251"/>
      <c r="AE140" s="251"/>
      <c r="AF140" s="251"/>
      <c r="AG140" s="251"/>
      <c r="AH140" s="251"/>
      <c r="AI140" s="251"/>
      <c r="AJ140" s="251"/>
      <c r="AK140" s="251"/>
      <c r="AL140" s="251"/>
      <c r="AM140" s="251"/>
      <c r="AN140" s="251"/>
      <c r="AO140" s="251"/>
      <c r="AP140" s="251"/>
      <c r="AR140" s="251"/>
    </row>
    <row r="141" spans="1:44" ht="18">
      <c r="A141" s="251"/>
      <c r="B141" s="251"/>
      <c r="C141" s="251"/>
      <c r="D141" s="251"/>
      <c r="E141" s="251"/>
      <c r="F141" s="251"/>
      <c r="G141" s="251"/>
      <c r="H141" s="251"/>
      <c r="I141" s="251"/>
      <c r="J141" s="251"/>
      <c r="K141" s="251"/>
      <c r="L141" s="251"/>
      <c r="M141" s="251"/>
      <c r="N141" s="251"/>
      <c r="O141" s="251"/>
      <c r="P141" s="251"/>
      <c r="Q141" s="251"/>
      <c r="R141" s="251"/>
      <c r="S141" s="251"/>
      <c r="T141" s="251"/>
      <c r="U141" s="251"/>
      <c r="V141" s="251"/>
      <c r="W141" s="251"/>
      <c r="X141" s="251"/>
      <c r="Y141" s="251"/>
      <c r="Z141" s="251"/>
      <c r="AA141" s="251"/>
      <c r="AB141" s="251"/>
      <c r="AC141" s="251"/>
      <c r="AD141" s="251"/>
      <c r="AE141" s="251"/>
      <c r="AF141" s="251"/>
      <c r="AG141" s="251"/>
      <c r="AH141" s="251"/>
      <c r="AI141" s="251"/>
      <c r="AJ141" s="251"/>
      <c r="AK141" s="251"/>
      <c r="AL141" s="251"/>
      <c r="AM141" s="251"/>
      <c r="AN141" s="251"/>
      <c r="AO141" s="251"/>
      <c r="AP141" s="251"/>
      <c r="AR141" s="251"/>
    </row>
    <row r="142" spans="1:44" ht="18">
      <c r="A142" s="251"/>
      <c r="B142" s="251"/>
      <c r="C142" s="251"/>
      <c r="D142" s="251"/>
      <c r="E142" s="251"/>
      <c r="F142" s="251"/>
      <c r="G142" s="251"/>
      <c r="H142" s="251"/>
      <c r="I142" s="251"/>
      <c r="J142" s="251"/>
      <c r="K142" s="251"/>
      <c r="L142" s="251"/>
      <c r="M142" s="251"/>
      <c r="N142" s="251"/>
      <c r="O142" s="251"/>
      <c r="P142" s="251"/>
      <c r="Q142" s="251"/>
      <c r="R142" s="251"/>
      <c r="S142" s="251"/>
      <c r="T142" s="251"/>
      <c r="U142" s="251"/>
      <c r="V142" s="251"/>
      <c r="W142" s="251"/>
      <c r="X142" s="251"/>
      <c r="Y142" s="251"/>
      <c r="Z142" s="251"/>
      <c r="AA142" s="251"/>
      <c r="AB142" s="251"/>
      <c r="AC142" s="251"/>
      <c r="AD142" s="251"/>
      <c r="AE142" s="251"/>
      <c r="AF142" s="251"/>
      <c r="AG142" s="251"/>
      <c r="AH142" s="251"/>
      <c r="AI142" s="251"/>
      <c r="AJ142" s="251"/>
      <c r="AK142" s="251"/>
      <c r="AL142" s="251"/>
      <c r="AM142" s="251"/>
      <c r="AN142" s="251"/>
      <c r="AO142" s="251"/>
      <c r="AP142" s="251"/>
      <c r="AR142" s="251"/>
    </row>
    <row r="143" spans="1:44" ht="18">
      <c r="A143" s="251"/>
      <c r="B143" s="251"/>
      <c r="C143" s="251"/>
      <c r="D143" s="251"/>
      <c r="E143" s="251"/>
      <c r="F143" s="251"/>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1"/>
      <c r="AE143" s="251"/>
      <c r="AF143" s="251"/>
      <c r="AG143" s="251"/>
      <c r="AH143" s="251"/>
      <c r="AI143" s="251"/>
      <c r="AJ143" s="251"/>
      <c r="AK143" s="251"/>
      <c r="AL143" s="251"/>
      <c r="AM143" s="251"/>
      <c r="AN143" s="251"/>
      <c r="AO143" s="251"/>
      <c r="AP143" s="251"/>
      <c r="AR143" s="251"/>
    </row>
    <row r="144" spans="1:44" ht="18">
      <c r="A144" s="251"/>
      <c r="B144" s="251"/>
      <c r="C144" s="251"/>
      <c r="D144" s="251"/>
      <c r="E144" s="251"/>
      <c r="F144" s="251"/>
      <c r="G144" s="251"/>
      <c r="H144" s="251"/>
      <c r="I144" s="251"/>
      <c r="J144" s="251"/>
      <c r="K144" s="251"/>
      <c r="L144" s="251"/>
      <c r="M144" s="251"/>
      <c r="N144" s="251"/>
      <c r="O144" s="251"/>
      <c r="P144" s="251"/>
      <c r="Q144" s="251"/>
      <c r="R144" s="251"/>
      <c r="S144" s="251"/>
      <c r="T144" s="251"/>
      <c r="U144" s="251"/>
      <c r="V144" s="251"/>
      <c r="W144" s="251"/>
      <c r="X144" s="251"/>
      <c r="Y144" s="251"/>
      <c r="Z144" s="251"/>
      <c r="AA144" s="251"/>
      <c r="AB144" s="251"/>
      <c r="AC144" s="251"/>
      <c r="AD144" s="251"/>
      <c r="AE144" s="251"/>
      <c r="AF144" s="251"/>
      <c r="AG144" s="251"/>
      <c r="AH144" s="251"/>
      <c r="AI144" s="251"/>
      <c r="AJ144" s="251"/>
      <c r="AK144" s="251"/>
      <c r="AL144" s="251"/>
      <c r="AM144" s="251"/>
      <c r="AN144" s="251"/>
      <c r="AO144" s="251"/>
      <c r="AP144" s="251"/>
      <c r="AR144" s="251"/>
    </row>
    <row r="145" spans="1:44" ht="18">
      <c r="A145" s="251"/>
      <c r="B145" s="251"/>
      <c r="C145" s="251"/>
      <c r="D145" s="251"/>
      <c r="E145" s="251"/>
      <c r="F145" s="251"/>
      <c r="G145" s="251"/>
      <c r="H145" s="251"/>
      <c r="I145" s="251"/>
      <c r="J145" s="251"/>
      <c r="K145" s="251"/>
      <c r="L145" s="251"/>
      <c r="M145" s="251"/>
      <c r="N145" s="251"/>
      <c r="O145" s="251"/>
      <c r="P145" s="251"/>
      <c r="Q145" s="251"/>
      <c r="R145" s="251"/>
      <c r="S145" s="251"/>
      <c r="T145" s="251"/>
      <c r="U145" s="251"/>
      <c r="V145" s="251"/>
      <c r="W145" s="251"/>
      <c r="X145" s="251"/>
      <c r="Y145" s="251"/>
      <c r="Z145" s="251"/>
      <c r="AA145" s="251"/>
      <c r="AB145" s="251"/>
      <c r="AC145" s="251"/>
      <c r="AD145" s="251"/>
      <c r="AE145" s="251"/>
      <c r="AF145" s="251"/>
      <c r="AG145" s="251"/>
      <c r="AH145" s="251"/>
      <c r="AI145" s="251"/>
      <c r="AJ145" s="251"/>
      <c r="AK145" s="251"/>
      <c r="AL145" s="251"/>
      <c r="AM145" s="251"/>
      <c r="AN145" s="251"/>
      <c r="AO145" s="251"/>
      <c r="AP145" s="251"/>
      <c r="AR145" s="251"/>
    </row>
    <row r="146" spans="1:44" ht="18">
      <c r="A146" s="251"/>
      <c r="B146" s="251"/>
      <c r="C146" s="251"/>
      <c r="D146" s="251"/>
      <c r="E146" s="251"/>
      <c r="F146" s="251"/>
      <c r="G146" s="251"/>
      <c r="H146" s="251"/>
      <c r="I146" s="251"/>
      <c r="J146" s="251"/>
      <c r="K146" s="251"/>
      <c r="L146" s="251"/>
      <c r="M146" s="251"/>
      <c r="N146" s="251"/>
      <c r="O146" s="251"/>
      <c r="P146" s="251"/>
      <c r="Q146" s="251"/>
      <c r="R146" s="251"/>
      <c r="S146" s="251"/>
      <c r="T146" s="251"/>
      <c r="U146" s="251"/>
      <c r="V146" s="251"/>
      <c r="W146" s="251"/>
      <c r="X146" s="251"/>
      <c r="Y146" s="251"/>
      <c r="Z146" s="251"/>
      <c r="AA146" s="251"/>
      <c r="AB146" s="251"/>
      <c r="AC146" s="251"/>
      <c r="AD146" s="251"/>
      <c r="AE146" s="251"/>
      <c r="AF146" s="251"/>
      <c r="AG146" s="251"/>
      <c r="AH146" s="251"/>
      <c r="AI146" s="251"/>
      <c r="AJ146" s="251"/>
      <c r="AK146" s="251"/>
      <c r="AL146" s="251"/>
      <c r="AM146" s="251"/>
      <c r="AN146" s="251"/>
      <c r="AO146" s="251"/>
      <c r="AP146" s="251"/>
      <c r="AR146" s="251"/>
    </row>
    <row r="147" spans="1:44" ht="18">
      <c r="A147" s="251"/>
      <c r="B147" s="251"/>
      <c r="C147" s="251"/>
      <c r="D147" s="251"/>
      <c r="E147" s="251"/>
      <c r="F147" s="251"/>
      <c r="G147" s="251"/>
      <c r="H147" s="251"/>
      <c r="I147" s="251"/>
      <c r="J147" s="251"/>
      <c r="K147" s="251"/>
      <c r="L147" s="251"/>
      <c r="M147" s="251"/>
      <c r="N147" s="251"/>
      <c r="O147" s="251"/>
      <c r="P147" s="251"/>
      <c r="Q147" s="251"/>
      <c r="R147" s="251"/>
      <c r="S147" s="251"/>
      <c r="T147" s="251"/>
      <c r="U147" s="251"/>
      <c r="V147" s="251"/>
      <c r="W147" s="251"/>
      <c r="X147" s="251"/>
      <c r="Y147" s="251"/>
      <c r="Z147" s="251"/>
      <c r="AA147" s="251"/>
      <c r="AB147" s="251"/>
      <c r="AC147" s="251"/>
      <c r="AD147" s="251"/>
      <c r="AE147" s="251"/>
      <c r="AF147" s="251"/>
      <c r="AG147" s="251"/>
      <c r="AH147" s="251"/>
      <c r="AI147" s="251"/>
      <c r="AJ147" s="251"/>
      <c r="AK147" s="251"/>
      <c r="AL147" s="251"/>
      <c r="AM147" s="251"/>
      <c r="AN147" s="251"/>
      <c r="AO147" s="251"/>
      <c r="AP147" s="251"/>
      <c r="AR147" s="251"/>
    </row>
    <row r="148" spans="1:44" ht="18">
      <c r="A148" s="251"/>
      <c r="B148" s="251"/>
      <c r="C148" s="251"/>
      <c r="D148" s="251"/>
      <c r="E148" s="251"/>
      <c r="F148" s="251"/>
      <c r="G148" s="251"/>
      <c r="H148" s="251"/>
      <c r="I148" s="251"/>
      <c r="J148" s="251"/>
      <c r="K148" s="251"/>
      <c r="L148" s="251"/>
      <c r="M148" s="251"/>
      <c r="N148" s="251"/>
      <c r="O148" s="251"/>
      <c r="P148" s="251"/>
      <c r="Q148" s="251"/>
      <c r="R148" s="251"/>
      <c r="S148" s="251"/>
      <c r="T148" s="251"/>
      <c r="U148" s="251"/>
      <c r="V148" s="251"/>
      <c r="W148" s="251"/>
      <c r="X148" s="251"/>
      <c r="Y148" s="251"/>
      <c r="Z148" s="251"/>
      <c r="AA148" s="251"/>
      <c r="AB148" s="251"/>
      <c r="AC148" s="251"/>
      <c r="AD148" s="251"/>
      <c r="AE148" s="251"/>
      <c r="AF148" s="251"/>
      <c r="AG148" s="251"/>
      <c r="AH148" s="251"/>
      <c r="AI148" s="251"/>
      <c r="AJ148" s="251"/>
      <c r="AK148" s="251"/>
      <c r="AL148" s="251"/>
      <c r="AM148" s="251"/>
      <c r="AN148" s="251"/>
      <c r="AO148" s="251"/>
      <c r="AP148" s="251"/>
      <c r="AR148" s="251"/>
    </row>
    <row r="149" spans="1:44" ht="18">
      <c r="A149" s="251"/>
      <c r="B149" s="251"/>
      <c r="C149" s="251"/>
      <c r="D149" s="251"/>
      <c r="E149" s="251"/>
      <c r="F149" s="251"/>
      <c r="G149" s="251"/>
      <c r="H149" s="251"/>
      <c r="I149" s="251"/>
      <c r="J149" s="251"/>
      <c r="K149" s="251"/>
      <c r="L149" s="251"/>
      <c r="M149" s="251"/>
      <c r="N149" s="251"/>
      <c r="O149" s="251"/>
      <c r="P149" s="251"/>
      <c r="Q149" s="251"/>
      <c r="R149" s="251"/>
      <c r="S149" s="251"/>
      <c r="T149" s="251"/>
      <c r="U149" s="251"/>
      <c r="V149" s="251"/>
      <c r="W149" s="251"/>
      <c r="X149" s="251"/>
      <c r="Y149" s="251"/>
      <c r="Z149" s="251"/>
      <c r="AA149" s="251"/>
      <c r="AB149" s="251"/>
      <c r="AC149" s="251"/>
      <c r="AD149" s="251"/>
      <c r="AE149" s="251"/>
      <c r="AF149" s="251"/>
      <c r="AG149" s="251"/>
      <c r="AH149" s="251"/>
      <c r="AI149" s="251"/>
      <c r="AJ149" s="251"/>
      <c r="AK149" s="251"/>
      <c r="AL149" s="251"/>
      <c r="AM149" s="251"/>
      <c r="AN149" s="251"/>
      <c r="AO149" s="251"/>
      <c r="AP149" s="251"/>
      <c r="AR149" s="251"/>
    </row>
    <row r="150" spans="1:44" ht="18">
      <c r="A150" s="251"/>
      <c r="B150" s="251"/>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51"/>
      <c r="AI150" s="251"/>
      <c r="AJ150" s="251"/>
      <c r="AK150" s="251"/>
      <c r="AL150" s="251"/>
      <c r="AM150" s="251"/>
      <c r="AN150" s="251"/>
      <c r="AO150" s="251"/>
      <c r="AP150" s="251"/>
      <c r="AR150" s="251"/>
    </row>
    <row r="151" spans="1:44" ht="18">
      <c r="A151" s="251"/>
      <c r="B151" s="251"/>
      <c r="C151" s="251"/>
      <c r="D151" s="251"/>
      <c r="E151" s="251"/>
      <c r="F151" s="251"/>
      <c r="G151" s="251"/>
      <c r="H151" s="251"/>
      <c r="I151" s="251"/>
      <c r="J151" s="251"/>
      <c r="K151" s="251"/>
      <c r="L151" s="251"/>
      <c r="M151" s="251"/>
      <c r="N151" s="251"/>
      <c r="O151" s="251"/>
      <c r="P151" s="251"/>
      <c r="Q151" s="251"/>
      <c r="R151" s="251"/>
      <c r="S151" s="251"/>
      <c r="T151" s="251"/>
      <c r="U151" s="251"/>
      <c r="V151" s="251"/>
      <c r="W151" s="251"/>
      <c r="X151" s="251"/>
      <c r="Y151" s="251"/>
      <c r="Z151" s="251"/>
      <c r="AA151" s="251"/>
      <c r="AB151" s="251"/>
      <c r="AC151" s="251"/>
      <c r="AD151" s="251"/>
      <c r="AE151" s="251"/>
      <c r="AF151" s="251"/>
      <c r="AG151" s="251"/>
      <c r="AH151" s="251"/>
      <c r="AI151" s="251"/>
      <c r="AJ151" s="251"/>
      <c r="AK151" s="251"/>
      <c r="AL151" s="251"/>
      <c r="AM151" s="251"/>
      <c r="AN151" s="251"/>
      <c r="AO151" s="251"/>
      <c r="AP151" s="251"/>
      <c r="AR151" s="251"/>
    </row>
    <row r="152" spans="1:44" ht="18">
      <c r="A152" s="251"/>
      <c r="B152" s="251"/>
      <c r="C152" s="251"/>
      <c r="D152" s="251"/>
      <c r="E152" s="251"/>
      <c r="F152" s="251"/>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1"/>
      <c r="AE152" s="251"/>
      <c r="AF152" s="251"/>
      <c r="AG152" s="251"/>
      <c r="AH152" s="251"/>
      <c r="AI152" s="251"/>
      <c r="AJ152" s="251"/>
      <c r="AK152" s="251"/>
      <c r="AL152" s="251"/>
      <c r="AM152" s="251"/>
      <c r="AN152" s="251"/>
      <c r="AO152" s="251"/>
      <c r="AP152" s="251"/>
      <c r="AR152" s="251"/>
    </row>
    <row r="153" spans="1:44" ht="18">
      <c r="A153" s="251"/>
      <c r="B153" s="251"/>
      <c r="C153" s="251"/>
      <c r="D153" s="251"/>
      <c r="E153" s="251"/>
      <c r="F153" s="251"/>
      <c r="G153" s="251"/>
      <c r="H153" s="251"/>
      <c r="I153" s="251"/>
      <c r="J153" s="251"/>
      <c r="K153" s="251"/>
      <c r="L153" s="251"/>
      <c r="M153" s="251"/>
      <c r="N153" s="251"/>
      <c r="O153" s="251"/>
      <c r="P153" s="251"/>
      <c r="Q153" s="251"/>
      <c r="R153" s="251"/>
      <c r="S153" s="251"/>
      <c r="T153" s="251"/>
      <c r="U153" s="251"/>
      <c r="V153" s="251"/>
      <c r="W153" s="251"/>
      <c r="X153" s="251"/>
      <c r="Y153" s="251"/>
      <c r="Z153" s="251"/>
      <c r="AA153" s="251"/>
      <c r="AB153" s="251"/>
      <c r="AC153" s="251"/>
      <c r="AD153" s="251"/>
      <c r="AE153" s="251"/>
      <c r="AF153" s="251"/>
      <c r="AG153" s="251"/>
      <c r="AH153" s="251"/>
      <c r="AI153" s="251"/>
      <c r="AJ153" s="251"/>
      <c r="AK153" s="251"/>
      <c r="AL153" s="251"/>
      <c r="AM153" s="251"/>
      <c r="AN153" s="251"/>
      <c r="AO153" s="251"/>
      <c r="AP153" s="251"/>
      <c r="AR153" s="251"/>
    </row>
    <row r="154" spans="1:44" ht="18">
      <c r="A154" s="251"/>
      <c r="B154" s="251"/>
      <c r="C154" s="251"/>
      <c r="D154" s="251"/>
      <c r="E154" s="251"/>
      <c r="F154" s="251"/>
      <c r="G154" s="251"/>
      <c r="H154" s="251"/>
      <c r="I154" s="251"/>
      <c r="J154" s="251"/>
      <c r="K154" s="251"/>
      <c r="L154" s="251"/>
      <c r="M154" s="251"/>
      <c r="N154" s="251"/>
      <c r="O154" s="251"/>
      <c r="P154" s="251"/>
      <c r="Q154" s="251"/>
      <c r="R154" s="251"/>
      <c r="S154" s="251"/>
      <c r="T154" s="251"/>
      <c r="U154" s="251"/>
      <c r="V154" s="251"/>
      <c r="W154" s="251"/>
      <c r="X154" s="251"/>
      <c r="Y154" s="251"/>
      <c r="Z154" s="251"/>
      <c r="AA154" s="251"/>
      <c r="AB154" s="251"/>
      <c r="AC154" s="251"/>
      <c r="AD154" s="251"/>
      <c r="AE154" s="251"/>
      <c r="AF154" s="251"/>
      <c r="AG154" s="251"/>
      <c r="AH154" s="251"/>
      <c r="AI154" s="251"/>
      <c r="AJ154" s="251"/>
      <c r="AK154" s="251"/>
      <c r="AL154" s="251"/>
      <c r="AM154" s="251"/>
      <c r="AN154" s="251"/>
      <c r="AO154" s="251"/>
      <c r="AP154" s="251"/>
      <c r="AR154" s="251"/>
    </row>
    <row r="155" spans="1:44" ht="18">
      <c r="A155" s="251"/>
      <c r="B155" s="251"/>
      <c r="C155" s="251"/>
      <c r="D155" s="251"/>
      <c r="E155" s="251"/>
      <c r="F155" s="251"/>
      <c r="G155" s="251"/>
      <c r="H155" s="251"/>
      <c r="I155" s="251"/>
      <c r="J155" s="251"/>
      <c r="K155" s="251"/>
      <c r="L155" s="251"/>
      <c r="M155" s="251"/>
      <c r="N155" s="251"/>
      <c r="O155" s="251"/>
      <c r="P155" s="251"/>
      <c r="Q155" s="251"/>
      <c r="R155" s="251"/>
      <c r="S155" s="251"/>
      <c r="T155" s="251"/>
      <c r="U155" s="251"/>
      <c r="V155" s="251"/>
      <c r="W155" s="251"/>
      <c r="X155" s="251"/>
      <c r="Y155" s="251"/>
      <c r="Z155" s="251"/>
      <c r="AA155" s="251"/>
      <c r="AB155" s="251"/>
      <c r="AC155" s="251"/>
      <c r="AD155" s="251"/>
      <c r="AE155" s="251"/>
      <c r="AF155" s="251"/>
      <c r="AG155" s="251"/>
      <c r="AH155" s="251"/>
      <c r="AI155" s="251"/>
      <c r="AJ155" s="251"/>
      <c r="AK155" s="251"/>
      <c r="AL155" s="251"/>
      <c r="AM155" s="251"/>
      <c r="AN155" s="251"/>
      <c r="AO155" s="251"/>
      <c r="AP155" s="251"/>
      <c r="AR155" s="251"/>
    </row>
    <row r="156" spans="1:44" ht="18">
      <c r="A156" s="251"/>
      <c r="B156" s="251"/>
      <c r="C156" s="251"/>
      <c r="D156" s="251"/>
      <c r="E156" s="251"/>
      <c r="F156" s="251"/>
      <c r="G156" s="251"/>
      <c r="H156" s="251"/>
      <c r="I156" s="251"/>
      <c r="J156" s="251"/>
      <c r="K156" s="251"/>
      <c r="L156" s="251"/>
      <c r="M156" s="251"/>
      <c r="N156" s="251"/>
      <c r="O156" s="251"/>
      <c r="P156" s="251"/>
      <c r="Q156" s="251"/>
      <c r="R156" s="251"/>
      <c r="S156" s="251"/>
      <c r="T156" s="251"/>
      <c r="U156" s="251"/>
      <c r="V156" s="251"/>
      <c r="W156" s="251"/>
      <c r="X156" s="251"/>
      <c r="Y156" s="251"/>
      <c r="Z156" s="251"/>
      <c r="AA156" s="251"/>
      <c r="AB156" s="251"/>
      <c r="AC156" s="251"/>
      <c r="AD156" s="251"/>
      <c r="AE156" s="251"/>
      <c r="AF156" s="251"/>
      <c r="AG156" s="251"/>
      <c r="AH156" s="251"/>
      <c r="AI156" s="251"/>
      <c r="AJ156" s="251"/>
      <c r="AK156" s="251"/>
      <c r="AL156" s="251"/>
      <c r="AM156" s="251"/>
      <c r="AN156" s="251"/>
      <c r="AO156" s="251"/>
      <c r="AP156" s="251"/>
      <c r="AR156" s="251"/>
    </row>
    <row r="157" spans="1:44" ht="18">
      <c r="A157" s="251"/>
      <c r="B157" s="251"/>
      <c r="C157" s="251"/>
      <c r="D157" s="251"/>
      <c r="E157" s="251"/>
      <c r="F157" s="251"/>
      <c r="G157" s="251"/>
      <c r="H157" s="251"/>
      <c r="I157" s="251"/>
      <c r="J157" s="251"/>
      <c r="K157" s="251"/>
      <c r="L157" s="251"/>
      <c r="M157" s="251"/>
      <c r="N157" s="251"/>
      <c r="O157" s="251"/>
      <c r="P157" s="251"/>
      <c r="Q157" s="251"/>
      <c r="R157" s="251"/>
      <c r="S157" s="251"/>
      <c r="T157" s="251"/>
      <c r="U157" s="251"/>
      <c r="V157" s="251"/>
      <c r="W157" s="251"/>
      <c r="X157" s="251"/>
      <c r="Y157" s="251"/>
      <c r="Z157" s="251"/>
      <c r="AA157" s="251"/>
      <c r="AB157" s="251"/>
      <c r="AC157" s="251"/>
      <c r="AD157" s="251"/>
      <c r="AE157" s="251"/>
      <c r="AF157" s="251"/>
      <c r="AG157" s="251"/>
      <c r="AH157" s="251"/>
      <c r="AI157" s="251"/>
      <c r="AJ157" s="251"/>
      <c r="AK157" s="251"/>
      <c r="AL157" s="251"/>
      <c r="AM157" s="251"/>
      <c r="AN157" s="251"/>
      <c r="AO157" s="251"/>
      <c r="AP157" s="251"/>
      <c r="AR157" s="251"/>
    </row>
    <row r="158" spans="1:44" ht="18">
      <c r="A158" s="251"/>
      <c r="B158" s="251"/>
      <c r="C158" s="251"/>
      <c r="D158" s="251"/>
      <c r="E158" s="251"/>
      <c r="F158" s="251"/>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1"/>
      <c r="AE158" s="251"/>
      <c r="AF158" s="251"/>
      <c r="AG158" s="251"/>
      <c r="AH158" s="251"/>
      <c r="AI158" s="251"/>
      <c r="AJ158" s="251"/>
      <c r="AK158" s="251"/>
      <c r="AL158" s="251"/>
      <c r="AM158" s="251"/>
      <c r="AN158" s="251"/>
      <c r="AO158" s="251"/>
      <c r="AP158" s="251"/>
      <c r="AR158" s="251"/>
    </row>
    <row r="159" spans="1:44" ht="18">
      <c r="A159" s="251"/>
      <c r="B159" s="251"/>
      <c r="C159" s="251"/>
      <c r="D159" s="251"/>
      <c r="E159" s="251"/>
      <c r="F159" s="251"/>
      <c r="G159" s="251"/>
      <c r="H159" s="251"/>
      <c r="I159" s="251"/>
      <c r="J159" s="251"/>
      <c r="K159" s="251"/>
      <c r="L159" s="251"/>
      <c r="M159" s="251"/>
      <c r="N159" s="251"/>
      <c r="O159" s="251"/>
      <c r="P159" s="251"/>
      <c r="Q159" s="251"/>
      <c r="R159" s="251"/>
      <c r="S159" s="251"/>
      <c r="T159" s="251"/>
      <c r="U159" s="251"/>
      <c r="V159" s="251"/>
      <c r="W159" s="251"/>
      <c r="X159" s="251"/>
      <c r="Y159" s="251"/>
      <c r="Z159" s="251"/>
      <c r="AA159" s="251"/>
      <c r="AB159" s="251"/>
      <c r="AC159" s="251"/>
      <c r="AD159" s="251"/>
      <c r="AE159" s="251"/>
      <c r="AF159" s="251"/>
      <c r="AG159" s="251"/>
      <c r="AH159" s="251"/>
      <c r="AI159" s="251"/>
      <c r="AJ159" s="251"/>
      <c r="AK159" s="251"/>
      <c r="AL159" s="251"/>
      <c r="AM159" s="251"/>
      <c r="AN159" s="251"/>
      <c r="AO159" s="251"/>
      <c r="AP159" s="251"/>
      <c r="AR159" s="251"/>
    </row>
    <row r="160" spans="1:44" ht="18">
      <c r="A160" s="251"/>
      <c r="B160" s="251"/>
      <c r="C160" s="251"/>
      <c r="D160" s="251"/>
      <c r="E160" s="251"/>
      <c r="F160" s="251"/>
      <c r="G160" s="251"/>
      <c r="H160" s="251"/>
      <c r="I160" s="251"/>
      <c r="J160" s="251"/>
      <c r="K160" s="251"/>
      <c r="L160" s="251"/>
      <c r="M160" s="251"/>
      <c r="N160" s="251"/>
      <c r="O160" s="251"/>
      <c r="P160" s="251"/>
      <c r="Q160" s="251"/>
      <c r="R160" s="251"/>
      <c r="S160" s="251"/>
      <c r="T160" s="251"/>
      <c r="U160" s="251"/>
      <c r="V160" s="251"/>
      <c r="W160" s="251"/>
      <c r="X160" s="251"/>
      <c r="Y160" s="251"/>
      <c r="Z160" s="251"/>
      <c r="AA160" s="251"/>
      <c r="AB160" s="251"/>
      <c r="AC160" s="251"/>
      <c r="AD160" s="251"/>
      <c r="AE160" s="251"/>
      <c r="AF160" s="251"/>
      <c r="AG160" s="251"/>
      <c r="AH160" s="251"/>
      <c r="AI160" s="251"/>
      <c r="AJ160" s="251"/>
      <c r="AK160" s="251"/>
      <c r="AL160" s="251"/>
      <c r="AM160" s="251"/>
      <c r="AN160" s="251"/>
      <c r="AO160" s="251"/>
      <c r="AP160" s="251"/>
      <c r="AR160" s="251"/>
    </row>
    <row r="161" spans="1:44" ht="18">
      <c r="A161" s="251"/>
      <c r="B161" s="251"/>
      <c r="C161" s="251"/>
      <c r="D161" s="251"/>
      <c r="E161" s="251"/>
      <c r="F161" s="251"/>
      <c r="G161" s="251"/>
      <c r="H161" s="251"/>
      <c r="I161" s="251"/>
      <c r="J161" s="251"/>
      <c r="K161" s="251"/>
      <c r="L161" s="251"/>
      <c r="M161" s="251"/>
      <c r="N161" s="251"/>
      <c r="O161" s="251"/>
      <c r="P161" s="251"/>
      <c r="Q161" s="251"/>
      <c r="R161" s="251"/>
      <c r="S161" s="251"/>
      <c r="T161" s="251"/>
      <c r="U161" s="251"/>
      <c r="V161" s="251"/>
      <c r="W161" s="251"/>
      <c r="X161" s="251"/>
      <c r="Y161" s="251"/>
      <c r="Z161" s="251"/>
      <c r="AA161" s="251"/>
      <c r="AB161" s="251"/>
      <c r="AC161" s="251"/>
      <c r="AD161" s="251"/>
      <c r="AE161" s="251"/>
      <c r="AF161" s="251"/>
      <c r="AG161" s="251"/>
      <c r="AH161" s="251"/>
      <c r="AI161" s="251"/>
      <c r="AJ161" s="251"/>
      <c r="AK161" s="251"/>
      <c r="AL161" s="251"/>
      <c r="AM161" s="251"/>
      <c r="AN161" s="251"/>
      <c r="AO161" s="251"/>
      <c r="AP161" s="251"/>
      <c r="AR161" s="251"/>
    </row>
    <row r="162" spans="1:44" ht="18">
      <c r="A162" s="251"/>
      <c r="B162" s="251"/>
      <c r="C162" s="251"/>
      <c r="D162" s="251"/>
      <c r="E162" s="251"/>
      <c r="F162" s="251"/>
      <c r="G162" s="251"/>
      <c r="H162" s="251"/>
      <c r="I162" s="251"/>
      <c r="J162" s="251"/>
      <c r="K162" s="251"/>
      <c r="L162" s="251"/>
      <c r="M162" s="251"/>
      <c r="N162" s="251"/>
      <c r="O162" s="251"/>
      <c r="P162" s="251"/>
      <c r="Q162" s="251"/>
      <c r="R162" s="251"/>
      <c r="S162" s="251"/>
      <c r="T162" s="251"/>
      <c r="U162" s="251"/>
      <c r="V162" s="251"/>
      <c r="W162" s="251"/>
      <c r="X162" s="251"/>
      <c r="Y162" s="251"/>
      <c r="Z162" s="251"/>
      <c r="AA162" s="251"/>
      <c r="AB162" s="251"/>
      <c r="AC162" s="251"/>
      <c r="AD162" s="251"/>
      <c r="AE162" s="251"/>
      <c r="AF162" s="251"/>
      <c r="AG162" s="251"/>
      <c r="AH162" s="251"/>
      <c r="AI162" s="251"/>
      <c r="AJ162" s="251"/>
      <c r="AK162" s="251"/>
      <c r="AL162" s="251"/>
      <c r="AM162" s="251"/>
      <c r="AN162" s="251"/>
      <c r="AO162" s="251"/>
      <c r="AP162" s="251"/>
      <c r="AR162" s="251"/>
    </row>
    <row r="163" spans="1:44" ht="18">
      <c r="A163" s="251"/>
      <c r="B163" s="251"/>
      <c r="C163" s="251"/>
      <c r="D163" s="251"/>
      <c r="E163" s="251"/>
      <c r="F163" s="251"/>
      <c r="G163" s="251"/>
      <c r="H163" s="251"/>
      <c r="I163" s="251"/>
      <c r="J163" s="251"/>
      <c r="K163" s="251"/>
      <c r="L163" s="251"/>
      <c r="M163" s="251"/>
      <c r="N163" s="251"/>
      <c r="O163" s="251"/>
      <c r="P163" s="251"/>
      <c r="Q163" s="251"/>
      <c r="R163" s="251"/>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c r="AN163" s="251"/>
      <c r="AO163" s="251"/>
      <c r="AP163" s="251"/>
      <c r="AR163" s="251"/>
    </row>
    <row r="164" spans="1:44" ht="18">
      <c r="A164" s="251"/>
      <c r="B164" s="251"/>
      <c r="C164" s="251"/>
      <c r="D164" s="251"/>
      <c r="E164" s="251"/>
      <c r="F164" s="251"/>
      <c r="G164" s="251"/>
      <c r="H164" s="251"/>
      <c r="I164" s="251"/>
      <c r="J164" s="251"/>
      <c r="K164" s="251"/>
      <c r="L164" s="251"/>
      <c r="M164" s="251"/>
      <c r="N164" s="251"/>
      <c r="O164" s="251"/>
      <c r="P164" s="251"/>
      <c r="Q164" s="251"/>
      <c r="R164" s="251"/>
      <c r="S164" s="251"/>
      <c r="T164" s="251"/>
      <c r="U164" s="251"/>
      <c r="V164" s="251"/>
      <c r="W164" s="251"/>
      <c r="X164" s="251"/>
      <c r="Y164" s="251"/>
      <c r="Z164" s="251"/>
      <c r="AA164" s="251"/>
      <c r="AB164" s="251"/>
      <c r="AC164" s="251"/>
      <c r="AD164" s="251"/>
      <c r="AE164" s="251"/>
      <c r="AF164" s="251"/>
      <c r="AG164" s="251"/>
      <c r="AH164" s="251"/>
      <c r="AI164" s="251"/>
      <c r="AJ164" s="251"/>
      <c r="AK164" s="251"/>
      <c r="AL164" s="251"/>
      <c r="AM164" s="251"/>
      <c r="AN164" s="251"/>
      <c r="AO164" s="251"/>
      <c r="AP164" s="251"/>
      <c r="AR164" s="251"/>
    </row>
    <row r="165" spans="1:44" ht="18">
      <c r="A165" s="251"/>
      <c r="B165" s="251"/>
      <c r="C165" s="251"/>
      <c r="D165" s="251"/>
      <c r="E165" s="251"/>
      <c r="F165" s="251"/>
      <c r="G165" s="251"/>
      <c r="H165" s="251"/>
      <c r="I165" s="251"/>
      <c r="J165" s="251"/>
      <c r="K165" s="251"/>
      <c r="L165" s="251"/>
      <c r="M165" s="251"/>
      <c r="N165" s="251"/>
      <c r="O165" s="251"/>
      <c r="P165" s="251"/>
      <c r="Q165" s="251"/>
      <c r="R165" s="251"/>
      <c r="S165" s="251"/>
      <c r="T165" s="251"/>
      <c r="U165" s="251"/>
      <c r="V165" s="251"/>
      <c r="W165" s="251"/>
      <c r="X165" s="251"/>
      <c r="Y165" s="251"/>
      <c r="Z165" s="251"/>
      <c r="AA165" s="251"/>
      <c r="AB165" s="251"/>
      <c r="AC165" s="251"/>
      <c r="AD165" s="251"/>
      <c r="AE165" s="251"/>
      <c r="AF165" s="251"/>
      <c r="AG165" s="251"/>
      <c r="AH165" s="251"/>
      <c r="AI165" s="251"/>
      <c r="AJ165" s="251"/>
      <c r="AK165" s="251"/>
      <c r="AL165" s="251"/>
      <c r="AM165" s="251"/>
      <c r="AN165" s="251"/>
      <c r="AO165" s="251"/>
      <c r="AP165" s="251"/>
      <c r="AR165" s="251"/>
    </row>
    <row r="166" spans="1:44" ht="18">
      <c r="A166" s="251"/>
      <c r="B166" s="251"/>
      <c r="C166" s="251"/>
      <c r="D166" s="251"/>
      <c r="E166" s="251"/>
      <c r="F166" s="251"/>
      <c r="G166" s="251"/>
      <c r="H166" s="251"/>
      <c r="I166" s="251"/>
      <c r="J166" s="251"/>
      <c r="K166" s="251"/>
      <c r="L166" s="251"/>
      <c r="M166" s="251"/>
      <c r="N166" s="251"/>
      <c r="O166" s="251"/>
      <c r="P166" s="251"/>
      <c r="Q166" s="251"/>
      <c r="R166" s="251"/>
      <c r="S166" s="251"/>
      <c r="T166" s="251"/>
      <c r="U166" s="251"/>
      <c r="V166" s="251"/>
      <c r="W166" s="251"/>
      <c r="X166" s="251"/>
      <c r="Y166" s="251"/>
      <c r="Z166" s="251"/>
      <c r="AA166" s="251"/>
      <c r="AB166" s="251"/>
      <c r="AC166" s="251"/>
      <c r="AD166" s="251"/>
      <c r="AE166" s="251"/>
      <c r="AF166" s="251"/>
      <c r="AG166" s="251"/>
      <c r="AH166" s="251"/>
      <c r="AI166" s="251"/>
      <c r="AJ166" s="251"/>
      <c r="AK166" s="251"/>
      <c r="AL166" s="251"/>
      <c r="AM166" s="251"/>
      <c r="AN166" s="251"/>
      <c r="AO166" s="251"/>
      <c r="AP166" s="251"/>
      <c r="AR166" s="251"/>
    </row>
    <row r="167" spans="1:44" ht="18">
      <c r="A167" s="251"/>
      <c r="B167" s="251"/>
      <c r="C167" s="251"/>
      <c r="D167" s="251"/>
      <c r="E167" s="251"/>
      <c r="F167" s="251"/>
      <c r="G167" s="251"/>
      <c r="H167" s="251"/>
      <c r="I167" s="251"/>
      <c r="J167" s="251"/>
      <c r="K167" s="251"/>
      <c r="L167" s="251"/>
      <c r="M167" s="251"/>
      <c r="N167" s="251"/>
      <c r="O167" s="251"/>
      <c r="P167" s="251"/>
      <c r="Q167" s="251"/>
      <c r="R167" s="251"/>
      <c r="S167" s="251"/>
      <c r="T167" s="251"/>
      <c r="U167" s="251"/>
      <c r="V167" s="251"/>
      <c r="W167" s="251"/>
      <c r="X167" s="251"/>
      <c r="Y167" s="251"/>
      <c r="Z167" s="251"/>
      <c r="AA167" s="251"/>
      <c r="AB167" s="251"/>
      <c r="AC167" s="251"/>
      <c r="AD167" s="251"/>
      <c r="AE167" s="251"/>
      <c r="AF167" s="251"/>
      <c r="AG167" s="251"/>
      <c r="AH167" s="251"/>
      <c r="AI167" s="251"/>
      <c r="AJ167" s="251"/>
      <c r="AK167" s="251"/>
      <c r="AL167" s="251"/>
      <c r="AM167" s="251"/>
      <c r="AN167" s="251"/>
      <c r="AO167" s="251"/>
      <c r="AP167" s="251"/>
      <c r="AR167" s="251"/>
    </row>
    <row r="168" spans="1:44" ht="18">
      <c r="A168" s="251"/>
      <c r="B168" s="251"/>
      <c r="C168" s="251"/>
      <c r="D168" s="251"/>
      <c r="E168" s="251"/>
      <c r="F168" s="251"/>
      <c r="G168" s="251"/>
      <c r="H168" s="251"/>
      <c r="I168" s="251"/>
      <c r="J168" s="251"/>
      <c r="K168" s="251"/>
      <c r="L168" s="251"/>
      <c r="M168" s="251"/>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251"/>
      <c r="AL168" s="251"/>
      <c r="AM168" s="251"/>
      <c r="AN168" s="251"/>
      <c r="AO168" s="251"/>
      <c r="AP168" s="251"/>
      <c r="AR168" s="251"/>
    </row>
    <row r="169" spans="1:44" ht="18">
      <c r="A169" s="251"/>
      <c r="B169" s="251"/>
      <c r="C169" s="251"/>
      <c r="D169" s="251"/>
      <c r="E169" s="251"/>
      <c r="F169" s="251"/>
      <c r="G169" s="251"/>
      <c r="H169" s="251"/>
      <c r="I169" s="251"/>
      <c r="J169" s="251"/>
      <c r="K169" s="251"/>
      <c r="L169" s="251"/>
      <c r="M169" s="251"/>
      <c r="N169" s="251"/>
      <c r="O169" s="251"/>
      <c r="P169" s="251"/>
      <c r="Q169" s="251"/>
      <c r="R169" s="251"/>
      <c r="S169" s="251"/>
      <c r="T169" s="251"/>
      <c r="U169" s="251"/>
      <c r="V169" s="251"/>
      <c r="W169" s="251"/>
      <c r="X169" s="251"/>
      <c r="Y169" s="251"/>
      <c r="Z169" s="251"/>
      <c r="AA169" s="251"/>
      <c r="AB169" s="251"/>
      <c r="AC169" s="251"/>
      <c r="AD169" s="251"/>
      <c r="AE169" s="251"/>
      <c r="AF169" s="251"/>
      <c r="AG169" s="251"/>
      <c r="AH169" s="251"/>
      <c r="AI169" s="251"/>
      <c r="AJ169" s="251"/>
      <c r="AK169" s="251"/>
      <c r="AL169" s="251"/>
      <c r="AM169" s="251"/>
      <c r="AN169" s="251"/>
      <c r="AO169" s="251"/>
      <c r="AP169" s="251"/>
      <c r="AR169" s="251"/>
    </row>
    <row r="170" spans="1:44" ht="18">
      <c r="A170" s="251"/>
      <c r="B170" s="251"/>
      <c r="C170" s="251"/>
      <c r="D170" s="251"/>
      <c r="E170" s="251"/>
      <c r="F170" s="251"/>
      <c r="G170" s="251"/>
      <c r="H170" s="251"/>
      <c r="I170" s="251"/>
      <c r="J170" s="251"/>
      <c r="K170" s="251"/>
      <c r="L170" s="251"/>
      <c r="M170" s="251"/>
      <c r="N170" s="251"/>
      <c r="O170" s="251"/>
      <c r="P170" s="251"/>
      <c r="Q170" s="251"/>
      <c r="R170" s="251"/>
      <c r="S170" s="251"/>
      <c r="T170" s="251"/>
      <c r="U170" s="251"/>
      <c r="V170" s="251"/>
      <c r="W170" s="251"/>
      <c r="X170" s="251"/>
      <c r="Y170" s="251"/>
      <c r="Z170" s="251"/>
      <c r="AA170" s="251"/>
      <c r="AB170" s="251"/>
      <c r="AC170" s="251"/>
      <c r="AD170" s="251"/>
      <c r="AE170" s="251"/>
      <c r="AF170" s="251"/>
      <c r="AG170" s="251"/>
      <c r="AH170" s="251"/>
      <c r="AI170" s="251"/>
      <c r="AJ170" s="251"/>
      <c r="AK170" s="251"/>
      <c r="AL170" s="251"/>
      <c r="AM170" s="251"/>
      <c r="AN170" s="251"/>
      <c r="AO170" s="251"/>
      <c r="AP170" s="251"/>
      <c r="AR170" s="251"/>
    </row>
    <row r="171" spans="1:44" ht="18">
      <c r="A171" s="251"/>
      <c r="B171" s="251"/>
      <c r="C171" s="251"/>
      <c r="D171" s="251"/>
      <c r="E171" s="251"/>
      <c r="F171" s="251"/>
      <c r="G171" s="251"/>
      <c r="H171" s="251"/>
      <c r="I171" s="251"/>
      <c r="J171" s="251"/>
      <c r="K171" s="251"/>
      <c r="L171" s="251"/>
      <c r="M171" s="251"/>
      <c r="N171" s="251"/>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c r="AM171" s="251"/>
      <c r="AN171" s="251"/>
      <c r="AO171" s="251"/>
      <c r="AP171" s="251"/>
      <c r="AR171" s="251"/>
    </row>
    <row r="172" spans="1:44" ht="18">
      <c r="A172" s="251"/>
      <c r="B172" s="251"/>
      <c r="C172" s="251"/>
      <c r="D172" s="251"/>
      <c r="E172" s="251"/>
      <c r="F172" s="251"/>
      <c r="G172" s="251"/>
      <c r="H172" s="251"/>
      <c r="I172" s="251"/>
      <c r="J172" s="251"/>
      <c r="K172" s="251"/>
      <c r="L172" s="251"/>
      <c r="M172" s="251"/>
      <c r="N172" s="251"/>
      <c r="O172" s="251"/>
      <c r="P172" s="251"/>
      <c r="Q172" s="251"/>
      <c r="R172" s="251"/>
      <c r="S172" s="251"/>
      <c r="T172" s="251"/>
      <c r="U172" s="251"/>
      <c r="V172" s="251"/>
      <c r="W172" s="251"/>
      <c r="X172" s="251"/>
      <c r="Y172" s="251"/>
      <c r="Z172" s="251"/>
      <c r="AA172" s="251"/>
      <c r="AB172" s="251"/>
      <c r="AC172" s="251"/>
      <c r="AD172" s="251"/>
      <c r="AE172" s="251"/>
      <c r="AF172" s="251"/>
      <c r="AG172" s="251"/>
      <c r="AH172" s="251"/>
      <c r="AI172" s="251"/>
      <c r="AJ172" s="251"/>
      <c r="AK172" s="251"/>
      <c r="AL172" s="251"/>
      <c r="AM172" s="251"/>
      <c r="AN172" s="251"/>
      <c r="AO172" s="251"/>
      <c r="AP172" s="251"/>
      <c r="AR172" s="251"/>
    </row>
    <row r="173" spans="1:44" ht="18">
      <c r="A173" s="251"/>
      <c r="B173" s="251"/>
      <c r="C173" s="251"/>
      <c r="D173" s="251"/>
      <c r="E173" s="251"/>
      <c r="F173" s="251"/>
      <c r="G173" s="251"/>
      <c r="H173" s="251"/>
      <c r="I173" s="251"/>
      <c r="J173" s="251"/>
      <c r="K173" s="251"/>
      <c r="L173" s="251"/>
      <c r="M173" s="251"/>
      <c r="N173" s="251"/>
      <c r="O173" s="251"/>
      <c r="P173" s="251"/>
      <c r="Q173" s="251"/>
      <c r="R173" s="251"/>
      <c r="S173" s="251"/>
      <c r="T173" s="251"/>
      <c r="U173" s="251"/>
      <c r="V173" s="251"/>
      <c r="W173" s="251"/>
      <c r="X173" s="251"/>
      <c r="Y173" s="251"/>
      <c r="Z173" s="251"/>
      <c r="AA173" s="251"/>
      <c r="AB173" s="251"/>
      <c r="AC173" s="251"/>
      <c r="AD173" s="251"/>
      <c r="AE173" s="251"/>
      <c r="AF173" s="251"/>
      <c r="AG173" s="251"/>
      <c r="AH173" s="251"/>
      <c r="AI173" s="251"/>
      <c r="AJ173" s="251"/>
      <c r="AK173" s="251"/>
      <c r="AL173" s="251"/>
      <c r="AM173" s="251"/>
      <c r="AN173" s="251"/>
      <c r="AO173" s="251"/>
      <c r="AP173" s="251"/>
      <c r="AR173" s="251"/>
    </row>
    <row r="174" spans="1:44" ht="18">
      <c r="A174" s="251"/>
      <c r="B174" s="251"/>
      <c r="C174" s="251"/>
      <c r="D174" s="251"/>
      <c r="E174" s="251"/>
      <c r="F174" s="251"/>
      <c r="G174" s="251"/>
      <c r="H174" s="251"/>
      <c r="I174" s="251"/>
      <c r="J174" s="251"/>
      <c r="K174" s="251"/>
      <c r="L174" s="251"/>
      <c r="M174" s="251"/>
      <c r="N174" s="251"/>
      <c r="O174" s="251"/>
      <c r="P174" s="251"/>
      <c r="Q174" s="251"/>
      <c r="R174" s="251"/>
      <c r="S174" s="251"/>
      <c r="T174" s="251"/>
      <c r="U174" s="251"/>
      <c r="V174" s="251"/>
      <c r="W174" s="251"/>
      <c r="X174" s="251"/>
      <c r="Y174" s="251"/>
      <c r="Z174" s="251"/>
      <c r="AA174" s="251"/>
      <c r="AB174" s="251"/>
      <c r="AC174" s="251"/>
      <c r="AD174" s="251"/>
      <c r="AE174" s="251"/>
      <c r="AF174" s="251"/>
      <c r="AG174" s="251"/>
      <c r="AH174" s="251"/>
      <c r="AI174" s="251"/>
      <c r="AJ174" s="251"/>
      <c r="AK174" s="251"/>
      <c r="AL174" s="251"/>
      <c r="AM174" s="251"/>
      <c r="AN174" s="251"/>
      <c r="AO174" s="251"/>
      <c r="AP174" s="251"/>
      <c r="AR174" s="251"/>
    </row>
    <row r="175" spans="1:44" ht="18">
      <c r="A175" s="251"/>
      <c r="B175" s="251"/>
      <c r="C175" s="251"/>
      <c r="D175" s="251"/>
      <c r="E175" s="251"/>
      <c r="F175" s="251"/>
      <c r="G175" s="251"/>
      <c r="H175" s="251"/>
      <c r="I175" s="251"/>
      <c r="J175" s="251"/>
      <c r="K175" s="251"/>
      <c r="L175" s="251"/>
      <c r="M175" s="251"/>
      <c r="N175" s="251"/>
      <c r="O175" s="251"/>
      <c r="P175" s="251"/>
      <c r="Q175" s="251"/>
      <c r="R175" s="251"/>
      <c r="S175" s="251"/>
      <c r="T175" s="251"/>
      <c r="U175" s="251"/>
      <c r="V175" s="251"/>
      <c r="W175" s="251"/>
      <c r="X175" s="251"/>
      <c r="Y175" s="251"/>
      <c r="Z175" s="251"/>
      <c r="AA175" s="251"/>
      <c r="AB175" s="251"/>
      <c r="AC175" s="251"/>
      <c r="AD175" s="251"/>
      <c r="AE175" s="251"/>
      <c r="AF175" s="251"/>
      <c r="AG175" s="251"/>
      <c r="AH175" s="251"/>
      <c r="AI175" s="251"/>
      <c r="AJ175" s="251"/>
      <c r="AK175" s="251"/>
      <c r="AL175" s="251"/>
      <c r="AM175" s="251"/>
      <c r="AN175" s="251"/>
      <c r="AO175" s="251"/>
      <c r="AP175" s="251"/>
      <c r="AR175" s="251"/>
    </row>
    <row r="176" spans="1:44" ht="18">
      <c r="A176" s="251"/>
      <c r="B176" s="251"/>
      <c r="C176" s="251"/>
      <c r="D176" s="251"/>
      <c r="E176" s="251"/>
      <c r="F176" s="251"/>
      <c r="G176" s="251"/>
      <c r="H176" s="251"/>
      <c r="I176" s="251"/>
      <c r="J176" s="251"/>
      <c r="K176" s="251"/>
      <c r="L176" s="251"/>
      <c r="M176" s="251"/>
      <c r="N176" s="251"/>
      <c r="O176" s="251"/>
      <c r="P176" s="251"/>
      <c r="Q176" s="251"/>
      <c r="R176" s="251"/>
      <c r="S176" s="251"/>
      <c r="T176" s="251"/>
      <c r="U176" s="251"/>
      <c r="V176" s="251"/>
      <c r="W176" s="251"/>
      <c r="X176" s="251"/>
      <c r="Y176" s="251"/>
      <c r="Z176" s="251"/>
      <c r="AA176" s="251"/>
      <c r="AB176" s="251"/>
      <c r="AC176" s="251"/>
      <c r="AD176" s="251"/>
      <c r="AE176" s="251"/>
      <c r="AF176" s="251"/>
      <c r="AG176" s="251"/>
      <c r="AH176" s="251"/>
      <c r="AI176" s="251"/>
      <c r="AJ176" s="251"/>
      <c r="AK176" s="251"/>
      <c r="AL176" s="251"/>
      <c r="AM176" s="251"/>
      <c r="AN176" s="251"/>
      <c r="AO176" s="251"/>
      <c r="AP176" s="251"/>
      <c r="AR176" s="251"/>
    </row>
    <row r="177" spans="1:44" ht="18">
      <c r="A177" s="251"/>
      <c r="B177" s="251"/>
      <c r="C177" s="251"/>
      <c r="D177" s="251"/>
      <c r="E177" s="251"/>
      <c r="F177" s="251"/>
      <c r="G177" s="251"/>
      <c r="H177" s="251"/>
      <c r="I177" s="251"/>
      <c r="J177" s="251"/>
      <c r="K177" s="251"/>
      <c r="L177" s="251"/>
      <c r="M177" s="251"/>
      <c r="N177" s="251"/>
      <c r="O177" s="251"/>
      <c r="P177" s="251"/>
      <c r="Q177" s="251"/>
      <c r="R177" s="251"/>
      <c r="S177" s="251"/>
      <c r="T177" s="251"/>
      <c r="U177" s="251"/>
      <c r="V177" s="251"/>
      <c r="W177" s="251"/>
      <c r="X177" s="251"/>
      <c r="Y177" s="251"/>
      <c r="Z177" s="251"/>
      <c r="AA177" s="251"/>
      <c r="AB177" s="251"/>
      <c r="AC177" s="251"/>
      <c r="AD177" s="251"/>
      <c r="AE177" s="251"/>
      <c r="AF177" s="251"/>
      <c r="AG177" s="251"/>
      <c r="AH177" s="251"/>
      <c r="AI177" s="251"/>
      <c r="AJ177" s="251"/>
      <c r="AK177" s="251"/>
      <c r="AL177" s="251"/>
      <c r="AM177" s="251"/>
      <c r="AN177" s="251"/>
      <c r="AO177" s="251"/>
      <c r="AP177" s="251"/>
      <c r="AR177" s="251"/>
    </row>
    <row r="178" spans="1:44" ht="18">
      <c r="A178" s="251"/>
      <c r="B178" s="251"/>
      <c r="C178" s="251"/>
      <c r="D178" s="251"/>
      <c r="E178" s="251"/>
      <c r="F178" s="251"/>
      <c r="G178" s="251"/>
      <c r="H178" s="251"/>
      <c r="I178" s="251"/>
      <c r="J178" s="251"/>
      <c r="K178" s="251"/>
      <c r="L178" s="251"/>
      <c r="M178" s="251"/>
      <c r="N178" s="251"/>
      <c r="O178" s="251"/>
      <c r="P178" s="251"/>
      <c r="Q178" s="251"/>
      <c r="R178" s="251"/>
      <c r="S178" s="251"/>
      <c r="T178" s="251"/>
      <c r="U178" s="251"/>
      <c r="V178" s="251"/>
      <c r="W178" s="251"/>
      <c r="X178" s="251"/>
      <c r="Y178" s="251"/>
      <c r="Z178" s="251"/>
      <c r="AA178" s="251"/>
      <c r="AB178" s="251"/>
      <c r="AC178" s="251"/>
      <c r="AD178" s="251"/>
      <c r="AE178" s="251"/>
      <c r="AF178" s="251"/>
      <c r="AG178" s="251"/>
      <c r="AH178" s="251"/>
      <c r="AI178" s="251"/>
      <c r="AJ178" s="251"/>
      <c r="AK178" s="251"/>
      <c r="AL178" s="251"/>
      <c r="AM178" s="251"/>
      <c r="AN178" s="251"/>
      <c r="AO178" s="251"/>
      <c r="AP178" s="251"/>
      <c r="AR178" s="251"/>
    </row>
    <row r="179" spans="1:44" ht="18">
      <c r="A179" s="251"/>
      <c r="B179" s="251"/>
      <c r="C179" s="251"/>
      <c r="D179" s="251"/>
      <c r="E179" s="251"/>
      <c r="F179" s="251"/>
      <c r="G179" s="251"/>
      <c r="H179" s="251"/>
      <c r="I179" s="251"/>
      <c r="J179" s="251"/>
      <c r="K179" s="251"/>
      <c r="L179" s="251"/>
      <c r="M179" s="251"/>
      <c r="N179" s="251"/>
      <c r="O179" s="251"/>
      <c r="P179" s="251"/>
      <c r="Q179" s="251"/>
      <c r="R179" s="251"/>
      <c r="S179" s="251"/>
      <c r="T179" s="251"/>
      <c r="U179" s="251"/>
      <c r="V179" s="251"/>
      <c r="W179" s="251"/>
      <c r="X179" s="251"/>
      <c r="Y179" s="251"/>
      <c r="Z179" s="251"/>
      <c r="AA179" s="251"/>
      <c r="AB179" s="251"/>
      <c r="AC179" s="251"/>
      <c r="AD179" s="251"/>
      <c r="AE179" s="251"/>
      <c r="AF179" s="251"/>
      <c r="AG179" s="251"/>
      <c r="AH179" s="251"/>
      <c r="AI179" s="251"/>
      <c r="AJ179" s="251"/>
      <c r="AK179" s="251"/>
      <c r="AL179" s="251"/>
      <c r="AM179" s="251"/>
      <c r="AN179" s="251"/>
      <c r="AO179" s="251"/>
      <c r="AP179" s="251"/>
      <c r="AR179" s="251"/>
    </row>
    <row r="180" spans="1:44" ht="18">
      <c r="A180" s="251"/>
      <c r="B180" s="251"/>
      <c r="C180" s="251"/>
      <c r="D180" s="251"/>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c r="AN180" s="251"/>
      <c r="AO180" s="251"/>
      <c r="AP180" s="251"/>
      <c r="AR180" s="251"/>
    </row>
    <row r="181" spans="1:44" ht="18">
      <c r="A181" s="251"/>
      <c r="B181" s="251"/>
      <c r="C181" s="251"/>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R181" s="251"/>
    </row>
    <row r="182" spans="1:44" ht="18">
      <c r="A182" s="251"/>
      <c r="B182" s="251"/>
      <c r="C182" s="251"/>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R182" s="251"/>
    </row>
    <row r="183" spans="1:44" ht="18">
      <c r="A183" s="251"/>
      <c r="B183" s="251"/>
      <c r="C183" s="251"/>
      <c r="D183" s="251"/>
      <c r="E183" s="251"/>
      <c r="F183" s="251"/>
      <c r="G183" s="251"/>
      <c r="H183" s="251"/>
      <c r="I183" s="251"/>
      <c r="J183" s="251"/>
      <c r="K183" s="251"/>
      <c r="L183" s="251"/>
      <c r="M183" s="251"/>
      <c r="N183" s="251"/>
      <c r="O183" s="251"/>
      <c r="P183" s="251"/>
      <c r="Q183" s="251"/>
      <c r="R183" s="251"/>
      <c r="S183" s="251"/>
      <c r="T183" s="251"/>
      <c r="U183" s="251"/>
      <c r="V183" s="251"/>
      <c r="W183" s="251"/>
      <c r="X183" s="251"/>
      <c r="Y183" s="251"/>
      <c r="Z183" s="251"/>
      <c r="AA183" s="251"/>
      <c r="AB183" s="251"/>
      <c r="AC183" s="251"/>
      <c r="AD183" s="251"/>
      <c r="AE183" s="251"/>
      <c r="AF183" s="251"/>
      <c r="AG183" s="251"/>
      <c r="AH183" s="251"/>
      <c r="AI183" s="251"/>
      <c r="AJ183" s="251"/>
      <c r="AK183" s="251"/>
      <c r="AL183" s="251"/>
      <c r="AM183" s="251"/>
      <c r="AN183" s="251"/>
      <c r="AO183" s="251"/>
      <c r="AP183" s="251"/>
      <c r="AR183" s="251"/>
    </row>
    <row r="184" spans="1:44" ht="18">
      <c r="A184" s="251"/>
      <c r="B184" s="251"/>
      <c r="C184" s="251"/>
      <c r="D184" s="251"/>
      <c r="E184" s="251"/>
      <c r="F184" s="251"/>
      <c r="G184" s="251"/>
      <c r="H184" s="251"/>
      <c r="I184" s="251"/>
      <c r="J184" s="251"/>
      <c r="K184" s="251"/>
      <c r="L184" s="251"/>
      <c r="M184" s="251"/>
      <c r="N184" s="251"/>
      <c r="O184" s="251"/>
      <c r="P184" s="251"/>
      <c r="Q184" s="251"/>
      <c r="R184" s="251"/>
      <c r="S184" s="251"/>
      <c r="T184" s="251"/>
      <c r="U184" s="251"/>
      <c r="V184" s="251"/>
      <c r="W184" s="251"/>
      <c r="X184" s="251"/>
      <c r="Y184" s="251"/>
      <c r="Z184" s="251"/>
      <c r="AA184" s="251"/>
      <c r="AB184" s="251"/>
      <c r="AC184" s="251"/>
      <c r="AD184" s="251"/>
      <c r="AE184" s="251"/>
      <c r="AF184" s="251"/>
      <c r="AG184" s="251"/>
      <c r="AH184" s="251"/>
      <c r="AI184" s="251"/>
      <c r="AJ184" s="251"/>
      <c r="AK184" s="251"/>
      <c r="AL184" s="251"/>
      <c r="AM184" s="251"/>
      <c r="AN184" s="251"/>
      <c r="AO184" s="251"/>
      <c r="AP184" s="251"/>
      <c r="AR184" s="251"/>
    </row>
    <row r="185" spans="1:44" ht="18">
      <c r="A185" s="251"/>
      <c r="B185" s="251"/>
      <c r="C185" s="251"/>
      <c r="D185" s="251"/>
      <c r="E185" s="251"/>
      <c r="F185" s="251"/>
      <c r="G185" s="251"/>
      <c r="H185" s="251"/>
      <c r="I185" s="251"/>
      <c r="J185" s="251"/>
      <c r="K185" s="251"/>
      <c r="L185" s="251"/>
      <c r="M185" s="251"/>
      <c r="N185" s="251"/>
      <c r="O185" s="251"/>
      <c r="P185" s="251"/>
      <c r="Q185" s="251"/>
      <c r="R185" s="251"/>
      <c r="S185" s="251"/>
      <c r="T185" s="251"/>
      <c r="U185" s="251"/>
      <c r="V185" s="251"/>
      <c r="W185" s="251"/>
      <c r="X185" s="251"/>
      <c r="Y185" s="251"/>
      <c r="Z185" s="251"/>
      <c r="AA185" s="251"/>
      <c r="AB185" s="251"/>
      <c r="AC185" s="251"/>
      <c r="AD185" s="251"/>
      <c r="AE185" s="251"/>
      <c r="AF185" s="251"/>
      <c r="AG185" s="251"/>
      <c r="AH185" s="251"/>
      <c r="AI185" s="251"/>
      <c r="AJ185" s="251"/>
      <c r="AK185" s="251"/>
      <c r="AL185" s="251"/>
      <c r="AM185" s="251"/>
      <c r="AN185" s="251"/>
      <c r="AO185" s="251"/>
      <c r="AP185" s="251"/>
      <c r="AR185" s="251"/>
    </row>
    <row r="186" spans="1:44" ht="18">
      <c r="A186" s="251"/>
      <c r="B186" s="251"/>
      <c r="C186" s="251"/>
      <c r="D186" s="251"/>
      <c r="E186" s="251"/>
      <c r="F186" s="251"/>
      <c r="G186" s="251"/>
      <c r="H186" s="251"/>
      <c r="I186" s="251"/>
      <c r="J186" s="251"/>
      <c r="K186" s="251"/>
      <c r="L186" s="251"/>
      <c r="M186" s="251"/>
      <c r="N186" s="251"/>
      <c r="O186" s="251"/>
      <c r="P186" s="251"/>
      <c r="Q186" s="251"/>
      <c r="R186" s="251"/>
      <c r="S186" s="251"/>
      <c r="T186" s="251"/>
      <c r="U186" s="251"/>
      <c r="V186" s="251"/>
      <c r="W186" s="251"/>
      <c r="X186" s="251"/>
      <c r="Y186" s="251"/>
      <c r="Z186" s="251"/>
      <c r="AA186" s="251"/>
      <c r="AB186" s="251"/>
      <c r="AC186" s="251"/>
      <c r="AD186" s="251"/>
      <c r="AE186" s="251"/>
      <c r="AF186" s="251"/>
      <c r="AG186" s="251"/>
      <c r="AH186" s="251"/>
      <c r="AI186" s="251"/>
      <c r="AJ186" s="251"/>
      <c r="AK186" s="251"/>
      <c r="AL186" s="251"/>
      <c r="AM186" s="251"/>
      <c r="AN186" s="251"/>
      <c r="AO186" s="251"/>
      <c r="AP186" s="251"/>
      <c r="AR186" s="251"/>
    </row>
    <row r="187" spans="1:44" ht="18">
      <c r="A187" s="251"/>
      <c r="B187" s="251"/>
      <c r="C187" s="251"/>
      <c r="D187" s="251"/>
      <c r="E187" s="251"/>
      <c r="F187" s="251"/>
      <c r="G187" s="251"/>
      <c r="H187" s="251"/>
      <c r="I187" s="251"/>
      <c r="J187" s="251"/>
      <c r="K187" s="251"/>
      <c r="L187" s="251"/>
      <c r="M187" s="251"/>
      <c r="N187" s="251"/>
      <c r="O187" s="251"/>
      <c r="P187" s="251"/>
      <c r="Q187" s="251"/>
      <c r="R187" s="251"/>
      <c r="S187" s="251"/>
      <c r="T187" s="251"/>
      <c r="U187" s="251"/>
      <c r="V187" s="251"/>
      <c r="W187" s="251"/>
      <c r="X187" s="251"/>
      <c r="Y187" s="251"/>
      <c r="Z187" s="251"/>
      <c r="AA187" s="251"/>
      <c r="AB187" s="251"/>
      <c r="AC187" s="251"/>
      <c r="AD187" s="251"/>
      <c r="AE187" s="251"/>
      <c r="AF187" s="251"/>
      <c r="AG187" s="251"/>
      <c r="AH187" s="251"/>
      <c r="AI187" s="251"/>
      <c r="AJ187" s="251"/>
      <c r="AK187" s="251"/>
      <c r="AL187" s="251"/>
      <c r="AM187" s="251"/>
      <c r="AN187" s="251"/>
      <c r="AO187" s="251"/>
      <c r="AP187" s="251"/>
      <c r="AR187" s="251"/>
    </row>
    <row r="188" spans="1:44" ht="18">
      <c r="A188" s="251"/>
      <c r="B188" s="251"/>
      <c r="C188" s="251"/>
      <c r="D188" s="251"/>
      <c r="E188" s="251"/>
      <c r="F188" s="251"/>
      <c r="G188" s="251"/>
      <c r="H188" s="251"/>
      <c r="I188" s="251"/>
      <c r="J188" s="251"/>
      <c r="K188" s="251"/>
      <c r="L188" s="251"/>
      <c r="M188" s="251"/>
      <c r="N188" s="251"/>
      <c r="O188" s="251"/>
      <c r="P188" s="251"/>
      <c r="Q188" s="251"/>
      <c r="R188" s="251"/>
      <c r="S188" s="251"/>
      <c r="T188" s="251"/>
      <c r="U188" s="251"/>
      <c r="V188" s="251"/>
      <c r="W188" s="251"/>
      <c r="X188" s="251"/>
      <c r="Y188" s="251"/>
      <c r="Z188" s="251"/>
      <c r="AA188" s="251"/>
      <c r="AB188" s="251"/>
      <c r="AC188" s="251"/>
      <c r="AD188" s="251"/>
      <c r="AE188" s="251"/>
      <c r="AF188" s="251"/>
      <c r="AG188" s="251"/>
      <c r="AH188" s="251"/>
      <c r="AI188" s="251"/>
      <c r="AJ188" s="251"/>
      <c r="AK188" s="251"/>
      <c r="AL188" s="251"/>
      <c r="AM188" s="251"/>
      <c r="AN188" s="251"/>
      <c r="AO188" s="251"/>
      <c r="AP188" s="251"/>
      <c r="AR188" s="251"/>
    </row>
    <row r="189" spans="1:44" ht="18">
      <c r="A189" s="251"/>
      <c r="B189" s="251"/>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R189" s="251"/>
    </row>
    <row r="190" spans="1:44" ht="18">
      <c r="A190" s="251"/>
      <c r="B190" s="251"/>
      <c r="C190" s="251"/>
      <c r="D190" s="251"/>
      <c r="E190" s="251"/>
      <c r="F190" s="251"/>
      <c r="G190" s="251"/>
      <c r="H190" s="251"/>
      <c r="I190" s="251"/>
      <c r="J190" s="251"/>
      <c r="K190" s="251"/>
      <c r="L190" s="251"/>
      <c r="M190" s="251"/>
      <c r="N190" s="251"/>
      <c r="O190" s="251"/>
      <c r="P190" s="251"/>
      <c r="Q190" s="251"/>
      <c r="R190" s="251"/>
      <c r="S190" s="251"/>
      <c r="T190" s="251"/>
      <c r="U190" s="251"/>
      <c r="V190" s="251"/>
      <c r="W190" s="251"/>
      <c r="X190" s="251"/>
      <c r="Y190" s="251"/>
      <c r="Z190" s="251"/>
      <c r="AA190" s="251"/>
      <c r="AB190" s="251"/>
      <c r="AC190" s="251"/>
      <c r="AD190" s="251"/>
      <c r="AE190" s="251"/>
      <c r="AF190" s="251"/>
      <c r="AG190" s="251"/>
      <c r="AH190" s="251"/>
      <c r="AI190" s="251"/>
      <c r="AJ190" s="251"/>
      <c r="AK190" s="251"/>
      <c r="AL190" s="251"/>
      <c r="AM190" s="251"/>
      <c r="AN190" s="251"/>
      <c r="AO190" s="251"/>
      <c r="AP190" s="251"/>
      <c r="AR190" s="251"/>
    </row>
    <row r="191" spans="1:44" ht="18">
      <c r="A191" s="251"/>
      <c r="B191" s="251"/>
      <c r="C191" s="251"/>
      <c r="D191" s="251"/>
      <c r="E191" s="251"/>
      <c r="F191" s="251"/>
      <c r="G191" s="251"/>
      <c r="H191" s="251"/>
      <c r="I191" s="251"/>
      <c r="J191" s="251"/>
      <c r="K191" s="251"/>
      <c r="L191" s="251"/>
      <c r="M191" s="251"/>
      <c r="N191" s="251"/>
      <c r="O191" s="251"/>
      <c r="P191" s="251"/>
      <c r="Q191" s="251"/>
      <c r="R191" s="251"/>
      <c r="S191" s="251"/>
      <c r="T191" s="251"/>
      <c r="U191" s="251"/>
      <c r="V191" s="251"/>
      <c r="W191" s="251"/>
      <c r="X191" s="251"/>
      <c r="Y191" s="251"/>
      <c r="Z191" s="251"/>
      <c r="AA191" s="251"/>
      <c r="AB191" s="251"/>
      <c r="AC191" s="251"/>
      <c r="AD191" s="251"/>
      <c r="AE191" s="251"/>
      <c r="AF191" s="251"/>
      <c r="AG191" s="251"/>
      <c r="AH191" s="251"/>
      <c r="AI191" s="251"/>
      <c r="AJ191" s="251"/>
      <c r="AK191" s="251"/>
      <c r="AL191" s="251"/>
      <c r="AM191" s="251"/>
      <c r="AN191" s="251"/>
      <c r="AO191" s="251"/>
      <c r="AP191" s="251"/>
      <c r="AR191" s="251"/>
    </row>
    <row r="192" spans="1:44" ht="18">
      <c r="A192" s="251"/>
      <c r="B192" s="251"/>
      <c r="C192" s="251"/>
      <c r="D192" s="251"/>
      <c r="E192" s="251"/>
      <c r="F192" s="251"/>
      <c r="G192" s="251"/>
      <c r="H192" s="251"/>
      <c r="I192" s="251"/>
      <c r="J192" s="251"/>
      <c r="K192" s="251"/>
      <c r="L192" s="251"/>
      <c r="M192" s="251"/>
      <c r="N192" s="251"/>
      <c r="O192" s="251"/>
      <c r="P192" s="251"/>
      <c r="Q192" s="251"/>
      <c r="R192" s="251"/>
      <c r="S192" s="251"/>
      <c r="T192" s="251"/>
      <c r="U192" s="251"/>
      <c r="V192" s="251"/>
      <c r="W192" s="251"/>
      <c r="X192" s="251"/>
      <c r="Y192" s="251"/>
      <c r="Z192" s="251"/>
      <c r="AA192" s="251"/>
      <c r="AB192" s="251"/>
      <c r="AC192" s="251"/>
      <c r="AD192" s="251"/>
      <c r="AE192" s="251"/>
      <c r="AF192" s="251"/>
      <c r="AG192" s="251"/>
      <c r="AH192" s="251"/>
      <c r="AI192" s="251"/>
      <c r="AJ192" s="251"/>
      <c r="AK192" s="251"/>
      <c r="AL192" s="251"/>
      <c r="AM192" s="251"/>
      <c r="AN192" s="251"/>
      <c r="AO192" s="251"/>
      <c r="AP192" s="251"/>
      <c r="AR192" s="251"/>
    </row>
    <row r="193" spans="1:44" ht="18">
      <c r="A193" s="251"/>
      <c r="B193" s="251"/>
      <c r="C193" s="251"/>
      <c r="D193" s="251"/>
      <c r="E193" s="251"/>
      <c r="F193" s="251"/>
      <c r="G193" s="251"/>
      <c r="H193" s="251"/>
      <c r="I193" s="251"/>
      <c r="J193" s="251"/>
      <c r="K193" s="251"/>
      <c r="L193" s="251"/>
      <c r="M193" s="251"/>
      <c r="N193" s="251"/>
      <c r="O193" s="251"/>
      <c r="P193" s="251"/>
      <c r="Q193" s="251"/>
      <c r="R193" s="251"/>
      <c r="S193" s="251"/>
      <c r="T193" s="251"/>
      <c r="U193" s="251"/>
      <c r="V193" s="251"/>
      <c r="W193" s="251"/>
      <c r="X193" s="251"/>
      <c r="Y193" s="251"/>
      <c r="Z193" s="251"/>
      <c r="AA193" s="251"/>
      <c r="AB193" s="251"/>
      <c r="AC193" s="251"/>
      <c r="AD193" s="251"/>
      <c r="AE193" s="251"/>
      <c r="AF193" s="251"/>
      <c r="AG193" s="251"/>
      <c r="AH193" s="251"/>
      <c r="AI193" s="251"/>
      <c r="AJ193" s="251"/>
      <c r="AK193" s="251"/>
      <c r="AL193" s="251"/>
      <c r="AM193" s="251"/>
      <c r="AN193" s="251"/>
      <c r="AO193" s="251"/>
      <c r="AP193" s="251"/>
      <c r="AR193" s="251"/>
    </row>
    <row r="194" spans="1:44" ht="18">
      <c r="A194" s="251"/>
      <c r="B194" s="251"/>
      <c r="C194" s="251"/>
      <c r="D194" s="251"/>
      <c r="E194" s="251"/>
      <c r="F194" s="251"/>
      <c r="G194" s="251"/>
      <c r="H194" s="251"/>
      <c r="I194" s="251"/>
      <c r="J194" s="251"/>
      <c r="K194" s="251"/>
      <c r="L194" s="251"/>
      <c r="M194" s="251"/>
      <c r="N194" s="251"/>
      <c r="O194" s="251"/>
      <c r="P194" s="251"/>
      <c r="Q194" s="251"/>
      <c r="R194" s="251"/>
      <c r="S194" s="251"/>
      <c r="T194" s="251"/>
      <c r="U194" s="251"/>
      <c r="V194" s="251"/>
      <c r="W194" s="251"/>
      <c r="X194" s="251"/>
      <c r="Y194" s="251"/>
      <c r="Z194" s="251"/>
      <c r="AA194" s="251"/>
      <c r="AB194" s="251"/>
      <c r="AC194" s="251"/>
      <c r="AD194" s="251"/>
      <c r="AE194" s="251"/>
      <c r="AF194" s="251"/>
      <c r="AG194" s="251"/>
      <c r="AH194" s="251"/>
      <c r="AI194" s="251"/>
      <c r="AJ194" s="251"/>
      <c r="AK194" s="251"/>
      <c r="AL194" s="251"/>
      <c r="AM194" s="251"/>
      <c r="AN194" s="251"/>
      <c r="AO194" s="251"/>
      <c r="AP194" s="251"/>
      <c r="AR194" s="251"/>
    </row>
    <row r="195" spans="1:44" ht="18">
      <c r="A195" s="251"/>
      <c r="B195" s="251"/>
      <c r="C195" s="251"/>
      <c r="D195" s="251"/>
      <c r="E195" s="251"/>
      <c r="F195" s="251"/>
      <c r="G195" s="251"/>
      <c r="H195" s="251"/>
      <c r="I195" s="251"/>
      <c r="J195" s="251"/>
      <c r="K195" s="251"/>
      <c r="L195" s="251"/>
      <c r="M195" s="251"/>
      <c r="N195" s="251"/>
      <c r="O195" s="251"/>
      <c r="P195" s="251"/>
      <c r="Q195" s="251"/>
      <c r="R195" s="251"/>
      <c r="S195" s="251"/>
      <c r="T195" s="251"/>
      <c r="U195" s="251"/>
      <c r="V195" s="251"/>
      <c r="W195" s="251"/>
      <c r="X195" s="251"/>
      <c r="Y195" s="251"/>
      <c r="Z195" s="251"/>
      <c r="AA195" s="251"/>
      <c r="AB195" s="251"/>
      <c r="AC195" s="251"/>
      <c r="AD195" s="251"/>
      <c r="AE195" s="251"/>
      <c r="AF195" s="251"/>
      <c r="AG195" s="251"/>
      <c r="AH195" s="251"/>
      <c r="AI195" s="251"/>
      <c r="AJ195" s="251"/>
      <c r="AK195" s="251"/>
      <c r="AL195" s="251"/>
      <c r="AM195" s="251"/>
      <c r="AN195" s="251"/>
      <c r="AO195" s="251"/>
      <c r="AP195" s="251"/>
      <c r="AR195" s="251"/>
    </row>
    <row r="196" spans="1:44" ht="18">
      <c r="A196" s="251"/>
      <c r="B196" s="251"/>
      <c r="C196" s="251"/>
      <c r="D196" s="251"/>
      <c r="E196" s="251"/>
      <c r="F196" s="251"/>
      <c r="G196" s="251"/>
      <c r="H196" s="251"/>
      <c r="I196" s="251"/>
      <c r="J196" s="251"/>
      <c r="K196" s="251"/>
      <c r="L196" s="251"/>
      <c r="M196" s="251"/>
      <c r="N196" s="251"/>
      <c r="O196" s="251"/>
      <c r="P196" s="251"/>
      <c r="Q196" s="251"/>
      <c r="R196" s="251"/>
      <c r="S196" s="251"/>
      <c r="T196" s="251"/>
      <c r="U196" s="251"/>
      <c r="V196" s="251"/>
      <c r="W196" s="251"/>
      <c r="X196" s="251"/>
      <c r="Y196" s="251"/>
      <c r="Z196" s="251"/>
      <c r="AA196" s="251"/>
      <c r="AB196" s="251"/>
      <c r="AC196" s="251"/>
      <c r="AD196" s="251"/>
      <c r="AE196" s="251"/>
      <c r="AF196" s="251"/>
      <c r="AG196" s="251"/>
      <c r="AH196" s="251"/>
      <c r="AI196" s="251"/>
      <c r="AJ196" s="251"/>
      <c r="AK196" s="251"/>
      <c r="AL196" s="251"/>
      <c r="AM196" s="251"/>
      <c r="AN196" s="251"/>
      <c r="AO196" s="251"/>
      <c r="AP196" s="251"/>
      <c r="AR196" s="251"/>
    </row>
    <row r="197" spans="1:44" ht="18">
      <c r="A197" s="251"/>
      <c r="B197" s="251"/>
      <c r="C197" s="251"/>
      <c r="D197" s="251"/>
      <c r="E197" s="251"/>
      <c r="F197" s="251"/>
      <c r="G197" s="251"/>
      <c r="H197" s="251"/>
      <c r="I197" s="251"/>
      <c r="J197" s="251"/>
      <c r="K197" s="251"/>
      <c r="L197" s="251"/>
      <c r="M197" s="251"/>
      <c r="N197" s="251"/>
      <c r="O197" s="251"/>
      <c r="P197" s="251"/>
      <c r="Q197" s="251"/>
      <c r="R197" s="251"/>
      <c r="S197" s="251"/>
      <c r="T197" s="251"/>
      <c r="U197" s="251"/>
      <c r="V197" s="251"/>
      <c r="W197" s="251"/>
      <c r="X197" s="251"/>
      <c r="Y197" s="251"/>
      <c r="Z197" s="251"/>
      <c r="AA197" s="251"/>
      <c r="AB197" s="251"/>
      <c r="AC197" s="251"/>
      <c r="AD197" s="251"/>
      <c r="AE197" s="251"/>
      <c r="AF197" s="251"/>
      <c r="AG197" s="251"/>
      <c r="AH197" s="251"/>
      <c r="AI197" s="251"/>
      <c r="AJ197" s="251"/>
      <c r="AK197" s="251"/>
      <c r="AL197" s="251"/>
      <c r="AM197" s="251"/>
      <c r="AN197" s="251"/>
      <c r="AO197" s="251"/>
      <c r="AP197" s="251"/>
      <c r="AR197" s="251"/>
    </row>
    <row r="198" spans="1:44" ht="18">
      <c r="A198" s="251"/>
      <c r="B198" s="251"/>
      <c r="C198" s="251"/>
      <c r="D198" s="251"/>
      <c r="E198" s="251"/>
      <c r="F198" s="251"/>
      <c r="G198" s="251"/>
      <c r="H198" s="251"/>
      <c r="I198" s="251"/>
      <c r="J198" s="251"/>
      <c r="K198" s="251"/>
      <c r="L198" s="251"/>
      <c r="M198" s="251"/>
      <c r="N198" s="251"/>
      <c r="O198" s="251"/>
      <c r="P198" s="251"/>
      <c r="Q198" s="251"/>
      <c r="R198" s="251"/>
      <c r="S198" s="251"/>
      <c r="T198" s="251"/>
      <c r="U198" s="251"/>
      <c r="V198" s="251"/>
      <c r="W198" s="251"/>
      <c r="X198" s="251"/>
      <c r="Y198" s="251"/>
      <c r="Z198" s="251"/>
      <c r="AA198" s="251"/>
      <c r="AB198" s="251"/>
      <c r="AC198" s="251"/>
      <c r="AD198" s="251"/>
      <c r="AE198" s="251"/>
      <c r="AF198" s="251"/>
      <c r="AG198" s="251"/>
      <c r="AH198" s="251"/>
      <c r="AI198" s="251"/>
      <c r="AJ198" s="251"/>
      <c r="AK198" s="251"/>
      <c r="AL198" s="251"/>
      <c r="AM198" s="251"/>
      <c r="AN198" s="251"/>
      <c r="AO198" s="251"/>
      <c r="AP198" s="251"/>
      <c r="AR198" s="251"/>
    </row>
    <row r="199" spans="1:44" ht="18">
      <c r="A199" s="251"/>
      <c r="B199" s="251"/>
      <c r="C199" s="251"/>
      <c r="D199" s="251"/>
      <c r="E199" s="251"/>
      <c r="F199" s="251"/>
      <c r="G199" s="251"/>
      <c r="H199" s="251"/>
      <c r="I199" s="251"/>
      <c r="J199" s="251"/>
      <c r="K199" s="251"/>
      <c r="L199" s="251"/>
      <c r="M199" s="251"/>
      <c r="N199" s="251"/>
      <c r="O199" s="251"/>
      <c r="P199" s="251"/>
      <c r="Q199" s="251"/>
      <c r="R199" s="251"/>
      <c r="S199" s="251"/>
      <c r="T199" s="251"/>
      <c r="U199" s="251"/>
      <c r="V199" s="251"/>
      <c r="W199" s="251"/>
      <c r="X199" s="251"/>
      <c r="Y199" s="251"/>
      <c r="Z199" s="251"/>
      <c r="AA199" s="251"/>
      <c r="AB199" s="251"/>
      <c r="AC199" s="251"/>
      <c r="AD199" s="251"/>
      <c r="AE199" s="251"/>
      <c r="AF199" s="251"/>
      <c r="AG199" s="251"/>
      <c r="AH199" s="251"/>
      <c r="AI199" s="251"/>
      <c r="AJ199" s="251"/>
      <c r="AK199" s="251"/>
      <c r="AL199" s="251"/>
      <c r="AM199" s="251"/>
      <c r="AN199" s="251"/>
      <c r="AO199" s="251"/>
      <c r="AP199" s="251"/>
      <c r="AR199" s="251"/>
    </row>
    <row r="200" spans="1:44" ht="18">
      <c r="A200" s="251"/>
      <c r="B200" s="251"/>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c r="AN200" s="251"/>
      <c r="AO200" s="251"/>
      <c r="AP200" s="251"/>
      <c r="AR200" s="251"/>
    </row>
    <row r="201" spans="1:44" ht="18">
      <c r="A201" s="251"/>
      <c r="B201" s="251"/>
      <c r="C201" s="251"/>
      <c r="D201" s="251"/>
      <c r="E201" s="251"/>
      <c r="F201" s="251"/>
      <c r="G201" s="251"/>
      <c r="H201" s="251"/>
      <c r="I201" s="251"/>
      <c r="J201" s="251"/>
      <c r="K201" s="251"/>
      <c r="L201" s="251"/>
      <c r="M201" s="251"/>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251"/>
      <c r="AL201" s="251"/>
      <c r="AM201" s="251"/>
      <c r="AN201" s="251"/>
      <c r="AO201" s="251"/>
      <c r="AP201" s="251"/>
      <c r="AR201" s="251"/>
    </row>
    <row r="202" spans="1:44" ht="18">
      <c r="A202" s="251"/>
      <c r="B202" s="251"/>
      <c r="C202" s="251"/>
      <c r="D202" s="251"/>
      <c r="E202" s="251"/>
      <c r="F202" s="251"/>
      <c r="G202" s="251"/>
      <c r="H202" s="251"/>
      <c r="I202" s="251"/>
      <c r="J202" s="251"/>
      <c r="K202" s="251"/>
      <c r="L202" s="251"/>
      <c r="M202" s="251"/>
      <c r="N202" s="251"/>
      <c r="O202" s="251"/>
      <c r="P202" s="251"/>
      <c r="Q202" s="251"/>
      <c r="R202" s="251"/>
      <c r="S202" s="251"/>
      <c r="T202" s="251"/>
      <c r="U202" s="251"/>
      <c r="V202" s="251"/>
      <c r="W202" s="251"/>
      <c r="X202" s="251"/>
      <c r="Y202" s="251"/>
      <c r="Z202" s="251"/>
      <c r="AA202" s="251"/>
      <c r="AB202" s="251"/>
      <c r="AC202" s="251"/>
      <c r="AD202" s="251"/>
      <c r="AE202" s="251"/>
      <c r="AF202" s="251"/>
      <c r="AG202" s="251"/>
      <c r="AH202" s="251"/>
      <c r="AI202" s="251"/>
      <c r="AJ202" s="251"/>
      <c r="AK202" s="251"/>
      <c r="AL202" s="251"/>
      <c r="AM202" s="251"/>
      <c r="AN202" s="251"/>
      <c r="AO202" s="251"/>
      <c r="AP202" s="251"/>
      <c r="AR202" s="251"/>
    </row>
    <row r="203" spans="1:44" ht="18">
      <c r="A203" s="251"/>
      <c r="B203" s="251"/>
      <c r="C203" s="251"/>
      <c r="D203" s="251"/>
      <c r="E203" s="251"/>
      <c r="F203" s="251"/>
      <c r="G203" s="251"/>
      <c r="H203" s="251"/>
      <c r="I203" s="251"/>
      <c r="J203" s="251"/>
      <c r="K203" s="251"/>
      <c r="L203" s="251"/>
      <c r="M203" s="251"/>
      <c r="N203" s="251"/>
      <c r="O203" s="251"/>
      <c r="P203" s="251"/>
      <c r="Q203" s="251"/>
      <c r="R203" s="251"/>
      <c r="S203" s="251"/>
      <c r="T203" s="251"/>
      <c r="U203" s="251"/>
      <c r="V203" s="251"/>
      <c r="W203" s="251"/>
      <c r="X203" s="251"/>
      <c r="Y203" s="251"/>
      <c r="Z203" s="251"/>
      <c r="AA203" s="251"/>
      <c r="AB203" s="251"/>
      <c r="AC203" s="251"/>
      <c r="AD203" s="251"/>
      <c r="AE203" s="251"/>
      <c r="AF203" s="251"/>
      <c r="AG203" s="251"/>
      <c r="AH203" s="251"/>
      <c r="AI203" s="251"/>
      <c r="AJ203" s="251"/>
      <c r="AK203" s="251"/>
      <c r="AL203" s="251"/>
      <c r="AM203" s="251"/>
      <c r="AN203" s="251"/>
      <c r="AO203" s="251"/>
      <c r="AP203" s="251"/>
      <c r="AR203" s="251"/>
    </row>
    <row r="204" spans="1:44" ht="18">
      <c r="A204" s="251"/>
      <c r="B204" s="251"/>
      <c r="C204" s="251"/>
      <c r="D204" s="251"/>
      <c r="E204" s="251"/>
      <c r="F204" s="251"/>
      <c r="G204" s="251"/>
      <c r="H204" s="251"/>
      <c r="I204" s="251"/>
      <c r="J204" s="251"/>
      <c r="K204" s="251"/>
      <c r="L204" s="251"/>
      <c r="M204" s="251"/>
      <c r="N204" s="251"/>
      <c r="O204" s="251"/>
      <c r="P204" s="251"/>
      <c r="Q204" s="251"/>
      <c r="R204" s="251"/>
      <c r="S204" s="251"/>
      <c r="T204" s="251"/>
      <c r="U204" s="251"/>
      <c r="V204" s="251"/>
      <c r="W204" s="251"/>
      <c r="X204" s="251"/>
      <c r="Y204" s="251"/>
      <c r="Z204" s="251"/>
      <c r="AA204" s="251"/>
      <c r="AB204" s="251"/>
      <c r="AC204" s="251"/>
      <c r="AD204" s="251"/>
      <c r="AE204" s="251"/>
      <c r="AF204" s="251"/>
      <c r="AG204" s="251"/>
      <c r="AH204" s="251"/>
      <c r="AI204" s="251"/>
      <c r="AJ204" s="251"/>
      <c r="AK204" s="251"/>
      <c r="AL204" s="251"/>
      <c r="AM204" s="251"/>
      <c r="AN204" s="251"/>
      <c r="AO204" s="251"/>
      <c r="AP204" s="251"/>
      <c r="AR204" s="251"/>
    </row>
    <row r="205" spans="1:44" ht="18">
      <c r="A205" s="251"/>
      <c r="B205" s="251"/>
      <c r="C205" s="251"/>
      <c r="D205" s="251"/>
      <c r="E205" s="251"/>
      <c r="F205" s="251"/>
      <c r="G205" s="251"/>
      <c r="H205" s="251"/>
      <c r="I205" s="251"/>
      <c r="J205" s="251"/>
      <c r="K205" s="251"/>
      <c r="L205" s="251"/>
      <c r="M205" s="251"/>
      <c r="N205" s="251"/>
      <c r="O205" s="251"/>
      <c r="P205" s="251"/>
      <c r="Q205" s="251"/>
      <c r="R205" s="251"/>
      <c r="S205" s="251"/>
      <c r="T205" s="251"/>
      <c r="U205" s="251"/>
      <c r="V205" s="251"/>
      <c r="W205" s="251"/>
      <c r="X205" s="251"/>
      <c r="Y205" s="251"/>
      <c r="Z205" s="251"/>
      <c r="AA205" s="251"/>
      <c r="AB205" s="251"/>
      <c r="AC205" s="251"/>
      <c r="AD205" s="251"/>
      <c r="AE205" s="251"/>
      <c r="AF205" s="251"/>
      <c r="AG205" s="251"/>
      <c r="AH205" s="251"/>
      <c r="AI205" s="251"/>
      <c r="AJ205" s="251"/>
      <c r="AK205" s="251"/>
      <c r="AL205" s="251"/>
      <c r="AM205" s="251"/>
      <c r="AN205" s="251"/>
      <c r="AO205" s="251"/>
      <c r="AP205" s="251"/>
      <c r="AR205" s="251"/>
    </row>
    <row r="206" spans="1:44" ht="18">
      <c r="A206" s="251"/>
      <c r="B206" s="251"/>
      <c r="C206" s="251"/>
      <c r="D206" s="251"/>
      <c r="E206" s="251"/>
      <c r="F206" s="251"/>
      <c r="G206" s="251"/>
      <c r="H206" s="251"/>
      <c r="I206" s="251"/>
      <c r="J206" s="251"/>
      <c r="K206" s="251"/>
      <c r="L206" s="251"/>
      <c r="M206" s="251"/>
      <c r="N206" s="251"/>
      <c r="O206" s="251"/>
      <c r="P206" s="251"/>
      <c r="Q206" s="251"/>
      <c r="R206" s="251"/>
      <c r="S206" s="251"/>
      <c r="T206" s="251"/>
      <c r="U206" s="251"/>
      <c r="V206" s="251"/>
      <c r="W206" s="251"/>
      <c r="X206" s="251"/>
      <c r="Y206" s="251"/>
      <c r="Z206" s="251"/>
      <c r="AA206" s="251"/>
      <c r="AB206" s="251"/>
      <c r="AC206" s="251"/>
      <c r="AD206" s="251"/>
      <c r="AE206" s="251"/>
      <c r="AF206" s="251"/>
      <c r="AG206" s="251"/>
      <c r="AH206" s="251"/>
      <c r="AI206" s="251"/>
      <c r="AJ206" s="251"/>
      <c r="AK206" s="251"/>
      <c r="AL206" s="251"/>
      <c r="AM206" s="251"/>
      <c r="AN206" s="251"/>
      <c r="AO206" s="251"/>
      <c r="AP206" s="251"/>
      <c r="AR206" s="251"/>
    </row>
    <row r="207" spans="1:44" ht="18">
      <c r="A207" s="251"/>
      <c r="B207" s="251"/>
      <c r="C207" s="251"/>
      <c r="D207" s="251"/>
      <c r="E207" s="251"/>
      <c r="F207" s="251"/>
      <c r="G207" s="251"/>
      <c r="H207" s="251"/>
      <c r="I207" s="251"/>
      <c r="J207" s="251"/>
      <c r="K207" s="251"/>
      <c r="L207" s="251"/>
      <c r="M207" s="251"/>
      <c r="N207" s="251"/>
      <c r="O207" s="251"/>
      <c r="P207" s="251"/>
      <c r="Q207" s="251"/>
      <c r="R207" s="251"/>
      <c r="S207" s="251"/>
      <c r="T207" s="251"/>
      <c r="U207" s="251"/>
      <c r="V207" s="251"/>
      <c r="W207" s="251"/>
      <c r="X207" s="251"/>
      <c r="Y207" s="251"/>
      <c r="Z207" s="251"/>
      <c r="AA207" s="251"/>
      <c r="AB207" s="251"/>
      <c r="AC207" s="251"/>
      <c r="AD207" s="251"/>
      <c r="AE207" s="251"/>
      <c r="AF207" s="251"/>
      <c r="AG207" s="251"/>
      <c r="AH207" s="251"/>
      <c r="AI207" s="251"/>
      <c r="AJ207" s="251"/>
      <c r="AK207" s="251"/>
      <c r="AL207" s="251"/>
      <c r="AM207" s="251"/>
      <c r="AN207" s="251"/>
      <c r="AO207" s="251"/>
      <c r="AP207" s="251"/>
      <c r="AR207" s="251"/>
    </row>
    <row r="208" spans="1:44" ht="18">
      <c r="A208" s="251"/>
      <c r="B208" s="251"/>
      <c r="C208" s="251"/>
      <c r="D208" s="251"/>
      <c r="E208" s="251"/>
      <c r="F208" s="251"/>
      <c r="G208" s="251"/>
      <c r="H208" s="251"/>
      <c r="I208" s="251"/>
      <c r="J208" s="251"/>
      <c r="K208" s="251"/>
      <c r="L208" s="251"/>
      <c r="M208" s="251"/>
      <c r="N208" s="251"/>
      <c r="O208" s="251"/>
      <c r="P208" s="251"/>
      <c r="Q208" s="251"/>
      <c r="R208" s="251"/>
      <c r="S208" s="251"/>
      <c r="T208" s="251"/>
      <c r="U208" s="251"/>
      <c r="V208" s="251"/>
      <c r="W208" s="251"/>
      <c r="X208" s="251"/>
      <c r="Y208" s="251"/>
      <c r="Z208" s="251"/>
      <c r="AA208" s="251"/>
      <c r="AB208" s="251"/>
      <c r="AC208" s="251"/>
      <c r="AD208" s="251"/>
      <c r="AE208" s="251"/>
      <c r="AF208" s="251"/>
      <c r="AG208" s="251"/>
      <c r="AH208" s="251"/>
      <c r="AI208" s="251"/>
      <c r="AJ208" s="251"/>
      <c r="AK208" s="251"/>
      <c r="AL208" s="251"/>
      <c r="AM208" s="251"/>
      <c r="AN208" s="251"/>
      <c r="AO208" s="251"/>
      <c r="AP208" s="251"/>
      <c r="AR208" s="251"/>
    </row>
    <row r="209" spans="1:44" ht="18">
      <c r="A209" s="251"/>
      <c r="B209" s="251"/>
      <c r="C209" s="251"/>
      <c r="D209" s="251"/>
      <c r="E209" s="251"/>
      <c r="F209" s="251"/>
      <c r="G209" s="251"/>
      <c r="H209" s="251"/>
      <c r="I209" s="251"/>
      <c r="J209" s="251"/>
      <c r="K209" s="251"/>
      <c r="L209" s="251"/>
      <c r="M209" s="251"/>
      <c r="N209" s="251"/>
      <c r="O209" s="251"/>
      <c r="P209" s="251"/>
      <c r="Q209" s="251"/>
      <c r="R209" s="251"/>
      <c r="S209" s="251"/>
      <c r="T209" s="251"/>
      <c r="U209" s="251"/>
      <c r="V209" s="251"/>
      <c r="W209" s="251"/>
      <c r="X209" s="251"/>
      <c r="Y209" s="251"/>
      <c r="Z209" s="251"/>
      <c r="AA209" s="251"/>
      <c r="AB209" s="251"/>
      <c r="AC209" s="251"/>
      <c r="AD209" s="251"/>
      <c r="AE209" s="251"/>
      <c r="AF209" s="251"/>
      <c r="AG209" s="251"/>
      <c r="AH209" s="251"/>
      <c r="AI209" s="251"/>
      <c r="AJ209" s="251"/>
      <c r="AK209" s="251"/>
      <c r="AL209" s="251"/>
      <c r="AM209" s="251"/>
      <c r="AN209" s="251"/>
      <c r="AO209" s="251"/>
      <c r="AP209" s="251"/>
      <c r="AR209" s="251"/>
    </row>
    <row r="210" spans="1:44" ht="18">
      <c r="A210" s="251"/>
      <c r="B210" s="251"/>
      <c r="C210" s="251"/>
      <c r="D210" s="251"/>
      <c r="E210" s="251"/>
      <c r="F210" s="251"/>
      <c r="G210" s="251"/>
      <c r="H210" s="251"/>
      <c r="I210" s="251"/>
      <c r="J210" s="251"/>
      <c r="K210" s="251"/>
      <c r="L210" s="251"/>
      <c r="M210" s="251"/>
      <c r="N210" s="251"/>
      <c r="O210" s="251"/>
      <c r="P210" s="251"/>
      <c r="Q210" s="251"/>
      <c r="R210" s="251"/>
      <c r="S210" s="251"/>
      <c r="T210" s="251"/>
      <c r="U210" s="251"/>
      <c r="V210" s="251"/>
      <c r="W210" s="251"/>
      <c r="X210" s="251"/>
      <c r="Y210" s="251"/>
      <c r="Z210" s="251"/>
      <c r="AA210" s="251"/>
      <c r="AB210" s="251"/>
      <c r="AC210" s="251"/>
      <c r="AD210" s="251"/>
      <c r="AE210" s="251"/>
      <c r="AF210" s="251"/>
      <c r="AG210" s="251"/>
      <c r="AH210" s="251"/>
      <c r="AI210" s="251"/>
      <c r="AJ210" s="251"/>
      <c r="AK210" s="251"/>
      <c r="AL210" s="251"/>
      <c r="AM210" s="251"/>
      <c r="AN210" s="251"/>
      <c r="AO210" s="251"/>
      <c r="AP210" s="251"/>
      <c r="AR210" s="251"/>
    </row>
    <row r="211" spans="1:44" ht="18">
      <c r="A211" s="251"/>
      <c r="B211" s="251"/>
      <c r="C211" s="251"/>
      <c r="D211" s="251"/>
      <c r="E211" s="251"/>
      <c r="F211" s="251"/>
      <c r="G211" s="251"/>
      <c r="H211" s="251"/>
      <c r="I211" s="251"/>
      <c r="J211" s="251"/>
      <c r="K211" s="251"/>
      <c r="L211" s="251"/>
      <c r="M211" s="251"/>
      <c r="N211" s="251"/>
      <c r="O211" s="251"/>
      <c r="P211" s="251"/>
      <c r="Q211" s="251"/>
      <c r="R211" s="251"/>
      <c r="S211" s="251"/>
      <c r="T211" s="251"/>
      <c r="U211" s="251"/>
      <c r="V211" s="251"/>
      <c r="W211" s="251"/>
      <c r="X211" s="251"/>
      <c r="Y211" s="251"/>
      <c r="Z211" s="251"/>
      <c r="AA211" s="251"/>
      <c r="AB211" s="251"/>
      <c r="AC211" s="251"/>
      <c r="AD211" s="251"/>
      <c r="AE211" s="251"/>
      <c r="AF211" s="251"/>
      <c r="AG211" s="251"/>
      <c r="AH211" s="251"/>
      <c r="AI211" s="251"/>
      <c r="AJ211" s="251"/>
      <c r="AK211" s="251"/>
      <c r="AL211" s="251"/>
      <c r="AM211" s="251"/>
      <c r="AN211" s="251"/>
      <c r="AO211" s="251"/>
      <c r="AP211" s="251"/>
      <c r="AR211" s="251"/>
    </row>
    <row r="212" spans="1:44" ht="18">
      <c r="A212" s="251"/>
      <c r="B212" s="251"/>
      <c r="C212" s="251"/>
      <c r="D212" s="251"/>
      <c r="E212" s="251"/>
      <c r="F212" s="251"/>
      <c r="G212" s="251"/>
      <c r="H212" s="251"/>
      <c r="I212" s="251"/>
      <c r="J212" s="251"/>
      <c r="K212" s="251"/>
      <c r="L212" s="251"/>
      <c r="M212" s="251"/>
      <c r="N212" s="251"/>
      <c r="O212" s="251"/>
      <c r="P212" s="251"/>
      <c r="Q212" s="251"/>
      <c r="R212" s="251"/>
      <c r="S212" s="251"/>
      <c r="T212" s="251"/>
      <c r="U212" s="251"/>
      <c r="V212" s="251"/>
      <c r="W212" s="251"/>
      <c r="X212" s="251"/>
      <c r="Y212" s="251"/>
      <c r="Z212" s="251"/>
      <c r="AA212" s="251"/>
      <c r="AB212" s="251"/>
      <c r="AC212" s="251"/>
      <c r="AD212" s="251"/>
      <c r="AE212" s="251"/>
      <c r="AF212" s="251"/>
      <c r="AG212" s="251"/>
      <c r="AH212" s="251"/>
      <c r="AI212" s="251"/>
      <c r="AJ212" s="251"/>
      <c r="AK212" s="251"/>
      <c r="AL212" s="251"/>
      <c r="AM212" s="251"/>
      <c r="AN212" s="251"/>
      <c r="AO212" s="251"/>
      <c r="AP212" s="251"/>
      <c r="AR212" s="251"/>
    </row>
    <row r="213" spans="1:44" ht="18">
      <c r="A213" s="251"/>
      <c r="B213" s="251"/>
      <c r="C213" s="251"/>
      <c r="D213" s="251"/>
      <c r="E213" s="251"/>
      <c r="F213" s="251"/>
      <c r="G213" s="251"/>
      <c r="H213" s="251"/>
      <c r="I213" s="251"/>
      <c r="J213" s="251"/>
      <c r="K213" s="251"/>
      <c r="L213" s="251"/>
      <c r="M213" s="251"/>
      <c r="N213" s="251"/>
      <c r="O213" s="251"/>
      <c r="P213" s="251"/>
      <c r="Q213" s="251"/>
      <c r="R213" s="251"/>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R213" s="251"/>
    </row>
    <row r="214" spans="1:44" ht="18">
      <c r="A214" s="251"/>
      <c r="B214" s="251"/>
      <c r="C214" s="251"/>
      <c r="D214" s="251"/>
      <c r="E214" s="251"/>
      <c r="F214" s="251"/>
      <c r="G214" s="251"/>
      <c r="H214" s="251"/>
      <c r="I214" s="251"/>
      <c r="J214" s="251"/>
      <c r="K214" s="251"/>
      <c r="L214" s="251"/>
      <c r="M214" s="251"/>
      <c r="N214" s="251"/>
      <c r="O214" s="251"/>
      <c r="P214" s="251"/>
      <c r="Q214" s="251"/>
      <c r="R214" s="251"/>
      <c r="S214" s="251"/>
      <c r="T214" s="251"/>
      <c r="U214" s="251"/>
      <c r="V214" s="251"/>
      <c r="W214" s="251"/>
      <c r="X214" s="251"/>
      <c r="Y214" s="251"/>
      <c r="Z214" s="251"/>
      <c r="AA214" s="251"/>
      <c r="AB214" s="251"/>
      <c r="AC214" s="251"/>
      <c r="AD214" s="251"/>
      <c r="AE214" s="251"/>
      <c r="AF214" s="251"/>
      <c r="AG214" s="251"/>
      <c r="AH214" s="251"/>
      <c r="AI214" s="251"/>
      <c r="AJ214" s="251"/>
      <c r="AK214" s="251"/>
      <c r="AL214" s="251"/>
      <c r="AM214" s="251"/>
      <c r="AN214" s="251"/>
      <c r="AO214" s="251"/>
      <c r="AP214" s="251"/>
      <c r="AR214" s="251"/>
    </row>
    <row r="215" spans="1:44" ht="18">
      <c r="A215" s="251"/>
      <c r="B215" s="251"/>
      <c r="C215" s="251"/>
      <c r="D215" s="251"/>
      <c r="E215" s="251"/>
      <c r="F215" s="251"/>
      <c r="G215" s="251"/>
      <c r="H215" s="251"/>
      <c r="I215" s="251"/>
      <c r="J215" s="251"/>
      <c r="K215" s="251"/>
      <c r="L215" s="251"/>
      <c r="M215" s="251"/>
      <c r="N215" s="251"/>
      <c r="O215" s="251"/>
      <c r="P215" s="251"/>
      <c r="Q215" s="251"/>
      <c r="R215" s="251"/>
      <c r="S215" s="251"/>
      <c r="T215" s="251"/>
      <c r="U215" s="251"/>
      <c r="V215" s="251"/>
      <c r="W215" s="251"/>
      <c r="X215" s="251"/>
      <c r="Y215" s="251"/>
      <c r="Z215" s="251"/>
      <c r="AA215" s="251"/>
      <c r="AB215" s="251"/>
      <c r="AC215" s="251"/>
      <c r="AD215" s="251"/>
      <c r="AE215" s="251"/>
      <c r="AF215" s="251"/>
      <c r="AG215" s="251"/>
      <c r="AH215" s="251"/>
      <c r="AI215" s="251"/>
      <c r="AJ215" s="251"/>
      <c r="AK215" s="251"/>
      <c r="AL215" s="251"/>
      <c r="AM215" s="251"/>
      <c r="AN215" s="251"/>
      <c r="AO215" s="251"/>
      <c r="AP215" s="251"/>
      <c r="AR215" s="251"/>
    </row>
    <row r="216" spans="1:44" ht="18">
      <c r="A216" s="251"/>
      <c r="B216" s="251"/>
      <c r="C216" s="251"/>
      <c r="D216" s="251"/>
      <c r="E216" s="251"/>
      <c r="F216" s="251"/>
      <c r="G216" s="251"/>
      <c r="H216" s="251"/>
      <c r="I216" s="251"/>
      <c r="J216" s="251"/>
      <c r="K216" s="251"/>
      <c r="L216" s="251"/>
      <c r="M216" s="251"/>
      <c r="N216" s="251"/>
      <c r="O216" s="251"/>
      <c r="P216" s="251"/>
      <c r="Q216" s="251"/>
      <c r="R216" s="251"/>
      <c r="S216" s="251"/>
      <c r="T216" s="251"/>
      <c r="U216" s="251"/>
      <c r="V216" s="251"/>
      <c r="W216" s="251"/>
      <c r="X216" s="251"/>
      <c r="Y216" s="251"/>
      <c r="Z216" s="251"/>
      <c r="AA216" s="251"/>
      <c r="AB216" s="251"/>
      <c r="AC216" s="251"/>
      <c r="AD216" s="251"/>
      <c r="AE216" s="251"/>
      <c r="AF216" s="251"/>
      <c r="AG216" s="251"/>
      <c r="AH216" s="251"/>
      <c r="AI216" s="251"/>
      <c r="AJ216" s="251"/>
      <c r="AK216" s="251"/>
      <c r="AL216" s="251"/>
      <c r="AM216" s="251"/>
      <c r="AN216" s="251"/>
      <c r="AO216" s="251"/>
      <c r="AP216" s="251"/>
      <c r="AR216" s="251"/>
    </row>
    <row r="217" spans="1:44" ht="18">
      <c r="A217" s="251"/>
      <c r="B217" s="251"/>
      <c r="C217" s="251"/>
      <c r="D217" s="251"/>
      <c r="E217" s="251"/>
      <c r="F217" s="251"/>
      <c r="G217" s="251"/>
      <c r="H217" s="251"/>
      <c r="I217" s="251"/>
      <c r="J217" s="251"/>
      <c r="K217" s="251"/>
      <c r="L217" s="251"/>
      <c r="M217" s="251"/>
      <c r="N217" s="251"/>
      <c r="O217" s="251"/>
      <c r="P217" s="251"/>
      <c r="Q217" s="251"/>
      <c r="R217" s="251"/>
      <c r="S217" s="251"/>
      <c r="T217" s="251"/>
      <c r="U217" s="251"/>
      <c r="V217" s="251"/>
      <c r="W217" s="251"/>
      <c r="X217" s="251"/>
      <c r="Y217" s="251"/>
      <c r="Z217" s="251"/>
      <c r="AA217" s="251"/>
      <c r="AB217" s="251"/>
      <c r="AC217" s="251"/>
      <c r="AD217" s="251"/>
      <c r="AE217" s="251"/>
      <c r="AF217" s="251"/>
      <c r="AG217" s="251"/>
      <c r="AH217" s="251"/>
      <c r="AI217" s="251"/>
      <c r="AJ217" s="251"/>
      <c r="AK217" s="251"/>
      <c r="AL217" s="251"/>
      <c r="AM217" s="251"/>
      <c r="AN217" s="251"/>
      <c r="AO217" s="251"/>
      <c r="AP217" s="251"/>
      <c r="AR217" s="251"/>
    </row>
    <row r="218" spans="1:44" ht="18">
      <c r="A218" s="251"/>
      <c r="B218" s="251"/>
      <c r="C218" s="251"/>
      <c r="D218" s="251"/>
      <c r="E218" s="251"/>
      <c r="F218" s="251"/>
      <c r="G218" s="251"/>
      <c r="H218" s="251"/>
      <c r="I218" s="251"/>
      <c r="J218" s="251"/>
      <c r="K218" s="251"/>
      <c r="L218" s="251"/>
      <c r="M218" s="251"/>
      <c r="N218" s="251"/>
      <c r="O218" s="251"/>
      <c r="P218" s="251"/>
      <c r="Q218" s="251"/>
      <c r="R218" s="251"/>
      <c r="S218" s="251"/>
      <c r="T218" s="251"/>
      <c r="U218" s="251"/>
      <c r="V218" s="251"/>
      <c r="W218" s="251"/>
      <c r="X218" s="251"/>
      <c r="Y218" s="251"/>
      <c r="Z218" s="251"/>
      <c r="AA218" s="251"/>
      <c r="AB218" s="251"/>
      <c r="AC218" s="251"/>
      <c r="AD218" s="251"/>
      <c r="AE218" s="251"/>
      <c r="AF218" s="251"/>
      <c r="AG218" s="251"/>
      <c r="AH218" s="251"/>
      <c r="AI218" s="251"/>
      <c r="AJ218" s="251"/>
      <c r="AK218" s="251"/>
      <c r="AL218" s="251"/>
      <c r="AM218" s="251"/>
      <c r="AN218" s="251"/>
      <c r="AO218" s="251"/>
      <c r="AP218" s="251"/>
      <c r="AR218" s="251"/>
    </row>
    <row r="219" spans="1:44" ht="18">
      <c r="A219" s="251"/>
      <c r="B219" s="251"/>
      <c r="C219" s="251"/>
      <c r="D219" s="251"/>
      <c r="E219" s="251"/>
      <c r="F219" s="251"/>
      <c r="G219" s="251"/>
      <c r="H219" s="251"/>
      <c r="I219" s="251"/>
      <c r="J219" s="251"/>
      <c r="K219" s="251"/>
      <c r="L219" s="251"/>
      <c r="M219" s="251"/>
      <c r="N219" s="251"/>
      <c r="O219" s="251"/>
      <c r="P219" s="251"/>
      <c r="Q219" s="251"/>
      <c r="R219" s="251"/>
      <c r="S219" s="251"/>
      <c r="T219" s="251"/>
      <c r="U219" s="251"/>
      <c r="V219" s="251"/>
      <c r="W219" s="251"/>
      <c r="X219" s="251"/>
      <c r="Y219" s="251"/>
      <c r="Z219" s="251"/>
      <c r="AA219" s="251"/>
      <c r="AB219" s="251"/>
      <c r="AC219" s="251"/>
      <c r="AD219" s="251"/>
      <c r="AE219" s="251"/>
      <c r="AF219" s="251"/>
      <c r="AG219" s="251"/>
      <c r="AH219" s="251"/>
      <c r="AI219" s="251"/>
      <c r="AJ219" s="251"/>
      <c r="AK219" s="251"/>
      <c r="AL219" s="251"/>
      <c r="AM219" s="251"/>
      <c r="AN219" s="251"/>
      <c r="AO219" s="251"/>
      <c r="AP219" s="251"/>
      <c r="AR219" s="251"/>
    </row>
    <row r="220" spans="1:44" ht="18">
      <c r="A220" s="251"/>
      <c r="B220" s="251"/>
      <c r="C220" s="251"/>
      <c r="D220" s="251"/>
      <c r="E220" s="251"/>
      <c r="F220" s="251"/>
      <c r="G220" s="251"/>
      <c r="H220" s="251"/>
      <c r="I220" s="251"/>
      <c r="J220" s="251"/>
      <c r="K220" s="251"/>
      <c r="L220" s="251"/>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251"/>
      <c r="AN220" s="251"/>
      <c r="AO220" s="251"/>
      <c r="AP220" s="251"/>
      <c r="AR220" s="251"/>
    </row>
    <row r="221" spans="1:44" ht="18">
      <c r="A221" s="251"/>
      <c r="B221" s="251"/>
      <c r="C221" s="251"/>
      <c r="D221" s="251"/>
      <c r="E221" s="251"/>
      <c r="F221" s="251"/>
      <c r="G221" s="251"/>
      <c r="H221" s="251"/>
      <c r="I221" s="251"/>
      <c r="J221" s="251"/>
      <c r="K221" s="251"/>
      <c r="L221" s="251"/>
      <c r="M221" s="251"/>
      <c r="N221" s="251"/>
      <c r="O221" s="251"/>
      <c r="P221" s="251"/>
      <c r="Q221" s="251"/>
      <c r="R221" s="251"/>
      <c r="S221" s="251"/>
      <c r="T221" s="251"/>
      <c r="U221" s="251"/>
      <c r="V221" s="251"/>
      <c r="W221" s="251"/>
      <c r="X221" s="251"/>
      <c r="Y221" s="251"/>
      <c r="Z221" s="251"/>
      <c r="AA221" s="251"/>
      <c r="AB221" s="251"/>
      <c r="AC221" s="251"/>
      <c r="AD221" s="251"/>
      <c r="AE221" s="251"/>
      <c r="AF221" s="251"/>
      <c r="AG221" s="251"/>
      <c r="AH221" s="251"/>
      <c r="AI221" s="251"/>
      <c r="AJ221" s="251"/>
      <c r="AK221" s="251"/>
      <c r="AL221" s="251"/>
      <c r="AM221" s="251"/>
      <c r="AN221" s="251"/>
      <c r="AO221" s="251"/>
      <c r="AP221" s="251"/>
      <c r="AR221" s="251"/>
    </row>
    <row r="222" spans="1:44" ht="18">
      <c r="A222" s="251"/>
      <c r="B222" s="251"/>
      <c r="C222" s="251"/>
      <c r="D222" s="251"/>
      <c r="E222" s="251"/>
      <c r="F222" s="251"/>
      <c r="G222" s="251"/>
      <c r="H222" s="251"/>
      <c r="I222" s="251"/>
      <c r="J222" s="251"/>
      <c r="K222" s="251"/>
      <c r="L222" s="251"/>
      <c r="M222" s="251"/>
      <c r="N222" s="251"/>
      <c r="O222" s="251"/>
      <c r="P222" s="251"/>
      <c r="Q222" s="251"/>
      <c r="R222" s="251"/>
      <c r="S222" s="251"/>
      <c r="T222" s="251"/>
      <c r="U222" s="251"/>
      <c r="V222" s="251"/>
      <c r="W222" s="251"/>
      <c r="X222" s="251"/>
      <c r="Y222" s="251"/>
      <c r="Z222" s="251"/>
      <c r="AA222" s="251"/>
      <c r="AB222" s="251"/>
      <c r="AC222" s="251"/>
      <c r="AD222" s="251"/>
      <c r="AE222" s="251"/>
      <c r="AF222" s="251"/>
      <c r="AG222" s="251"/>
      <c r="AH222" s="251"/>
      <c r="AI222" s="251"/>
      <c r="AJ222" s="251"/>
      <c r="AK222" s="251"/>
      <c r="AL222" s="251"/>
      <c r="AM222" s="251"/>
      <c r="AN222" s="251"/>
      <c r="AO222" s="251"/>
      <c r="AP222" s="251"/>
      <c r="AR222" s="251"/>
    </row>
    <row r="223" spans="1:44" ht="18">
      <c r="A223" s="251"/>
      <c r="B223" s="251"/>
      <c r="C223" s="251"/>
      <c r="D223" s="251"/>
      <c r="E223" s="251"/>
      <c r="F223" s="251"/>
      <c r="G223" s="251"/>
      <c r="H223" s="251"/>
      <c r="I223" s="251"/>
      <c r="J223" s="251"/>
      <c r="K223" s="251"/>
      <c r="L223" s="251"/>
      <c r="M223" s="251"/>
      <c r="N223" s="251"/>
      <c r="O223" s="251"/>
      <c r="P223" s="251"/>
      <c r="Q223" s="251"/>
      <c r="R223" s="251"/>
      <c r="S223" s="251"/>
      <c r="T223" s="251"/>
      <c r="U223" s="251"/>
      <c r="V223" s="251"/>
      <c r="W223" s="251"/>
      <c r="X223" s="251"/>
      <c r="Y223" s="251"/>
      <c r="Z223" s="251"/>
      <c r="AA223" s="251"/>
      <c r="AB223" s="251"/>
      <c r="AC223" s="251"/>
      <c r="AD223" s="251"/>
      <c r="AE223" s="251"/>
      <c r="AF223" s="251"/>
      <c r="AG223" s="251"/>
      <c r="AH223" s="251"/>
      <c r="AI223" s="251"/>
      <c r="AJ223" s="251"/>
      <c r="AK223" s="251"/>
      <c r="AL223" s="251"/>
      <c r="AM223" s="251"/>
      <c r="AN223" s="251"/>
      <c r="AO223" s="251"/>
      <c r="AP223" s="251"/>
      <c r="AR223" s="251"/>
    </row>
    <row r="224" spans="1:44" ht="18">
      <c r="A224" s="251"/>
      <c r="B224" s="251"/>
      <c r="C224" s="251"/>
      <c r="D224" s="251"/>
      <c r="E224" s="251"/>
      <c r="F224" s="251"/>
      <c r="G224" s="251"/>
      <c r="H224" s="251"/>
      <c r="I224" s="251"/>
      <c r="J224" s="251"/>
      <c r="K224" s="251"/>
      <c r="L224" s="251"/>
      <c r="M224" s="251"/>
      <c r="N224" s="251"/>
      <c r="O224" s="251"/>
      <c r="P224" s="251"/>
      <c r="Q224" s="251"/>
      <c r="R224" s="251"/>
      <c r="S224" s="251"/>
      <c r="T224" s="251"/>
      <c r="U224" s="251"/>
      <c r="V224" s="251"/>
      <c r="W224" s="251"/>
      <c r="X224" s="251"/>
      <c r="Y224" s="251"/>
      <c r="Z224" s="251"/>
      <c r="AA224" s="251"/>
      <c r="AB224" s="251"/>
      <c r="AC224" s="251"/>
      <c r="AD224" s="251"/>
      <c r="AE224" s="251"/>
      <c r="AF224" s="251"/>
      <c r="AG224" s="251"/>
      <c r="AH224" s="251"/>
      <c r="AI224" s="251"/>
      <c r="AJ224" s="251"/>
      <c r="AK224" s="251"/>
      <c r="AL224" s="251"/>
      <c r="AM224" s="251"/>
      <c r="AN224" s="251"/>
      <c r="AO224" s="251"/>
      <c r="AP224" s="251"/>
      <c r="AR224" s="251"/>
    </row>
    <row r="225" spans="1:44" ht="18">
      <c r="A225" s="251"/>
      <c r="B225" s="251"/>
      <c r="C225" s="251"/>
      <c r="D225" s="251"/>
      <c r="E225" s="251"/>
      <c r="F225" s="251"/>
      <c r="G225" s="251"/>
      <c r="H225" s="251"/>
      <c r="I225" s="251"/>
      <c r="J225" s="251"/>
      <c r="K225" s="251"/>
      <c r="L225" s="251"/>
      <c r="M225" s="251"/>
      <c r="N225" s="251"/>
      <c r="O225" s="251"/>
      <c r="P225" s="251"/>
      <c r="Q225" s="251"/>
      <c r="R225" s="251"/>
      <c r="S225" s="251"/>
      <c r="T225" s="251"/>
      <c r="U225" s="251"/>
      <c r="V225" s="251"/>
      <c r="W225" s="251"/>
      <c r="X225" s="251"/>
      <c r="Y225" s="251"/>
      <c r="Z225" s="251"/>
      <c r="AA225" s="251"/>
      <c r="AB225" s="251"/>
      <c r="AC225" s="251"/>
      <c r="AD225" s="251"/>
      <c r="AE225" s="251"/>
      <c r="AF225" s="251"/>
      <c r="AG225" s="251"/>
      <c r="AH225" s="251"/>
      <c r="AI225" s="251"/>
      <c r="AJ225" s="251"/>
      <c r="AK225" s="251"/>
      <c r="AL225" s="251"/>
      <c r="AM225" s="251"/>
      <c r="AN225" s="251"/>
      <c r="AO225" s="251"/>
      <c r="AP225" s="251"/>
      <c r="AR225" s="251"/>
    </row>
    <row r="226" spans="1:44" ht="18">
      <c r="A226" s="251"/>
      <c r="B226" s="251"/>
      <c r="C226" s="251"/>
      <c r="D226" s="251"/>
      <c r="E226" s="251"/>
      <c r="F226" s="251"/>
      <c r="G226" s="251"/>
      <c r="H226" s="251"/>
      <c r="I226" s="251"/>
      <c r="J226" s="251"/>
      <c r="K226" s="251"/>
      <c r="L226" s="251"/>
      <c r="M226" s="251"/>
      <c r="N226" s="251"/>
      <c r="O226" s="251"/>
      <c r="P226" s="251"/>
      <c r="Q226" s="251"/>
      <c r="R226" s="251"/>
      <c r="S226" s="251"/>
      <c r="T226" s="251"/>
      <c r="U226" s="251"/>
      <c r="V226" s="251"/>
      <c r="W226" s="251"/>
      <c r="X226" s="251"/>
      <c r="Y226" s="251"/>
      <c r="Z226" s="251"/>
      <c r="AA226" s="251"/>
      <c r="AB226" s="251"/>
      <c r="AC226" s="251"/>
      <c r="AD226" s="251"/>
      <c r="AE226" s="251"/>
      <c r="AF226" s="251"/>
      <c r="AG226" s="251"/>
      <c r="AH226" s="251"/>
      <c r="AI226" s="251"/>
      <c r="AJ226" s="251"/>
      <c r="AK226" s="251"/>
      <c r="AL226" s="251"/>
      <c r="AM226" s="251"/>
      <c r="AN226" s="251"/>
      <c r="AO226" s="251"/>
      <c r="AP226" s="251"/>
      <c r="AR226" s="251"/>
    </row>
    <row r="227" spans="1:44" ht="18">
      <c r="A227" s="251"/>
      <c r="B227" s="251"/>
      <c r="C227" s="251"/>
      <c r="D227" s="251"/>
      <c r="E227" s="251"/>
      <c r="F227" s="251"/>
      <c r="G227" s="251"/>
      <c r="H227" s="251"/>
      <c r="I227" s="251"/>
      <c r="J227" s="251"/>
      <c r="K227" s="251"/>
      <c r="L227" s="251"/>
      <c r="M227" s="251"/>
      <c r="N227" s="251"/>
      <c r="O227" s="251"/>
      <c r="P227" s="251"/>
      <c r="Q227" s="251"/>
      <c r="R227" s="251"/>
      <c r="S227" s="251"/>
      <c r="T227" s="251"/>
      <c r="U227" s="251"/>
      <c r="V227" s="251"/>
      <c r="W227" s="251"/>
      <c r="X227" s="251"/>
      <c r="Y227" s="251"/>
      <c r="Z227" s="251"/>
      <c r="AA227" s="251"/>
      <c r="AB227" s="251"/>
      <c r="AC227" s="251"/>
      <c r="AD227" s="251"/>
      <c r="AE227" s="251"/>
      <c r="AF227" s="251"/>
      <c r="AG227" s="251"/>
      <c r="AH227" s="251"/>
      <c r="AI227" s="251"/>
      <c r="AJ227" s="251"/>
      <c r="AK227" s="251"/>
      <c r="AL227" s="251"/>
      <c r="AM227" s="251"/>
      <c r="AN227" s="251"/>
      <c r="AO227" s="251"/>
      <c r="AP227" s="251"/>
      <c r="AR227" s="251"/>
    </row>
    <row r="228" spans="1:44" ht="18">
      <c r="A228" s="251"/>
      <c r="B228" s="251"/>
      <c r="C228" s="251"/>
      <c r="D228" s="251"/>
      <c r="E228" s="251"/>
      <c r="F228" s="251"/>
      <c r="G228" s="251"/>
      <c r="H228" s="251"/>
      <c r="I228" s="251"/>
      <c r="J228" s="251"/>
      <c r="K228" s="251"/>
      <c r="L228" s="251"/>
      <c r="M228" s="251"/>
      <c r="N228" s="251"/>
      <c r="O228" s="251"/>
      <c r="P228" s="251"/>
      <c r="Q228" s="251"/>
      <c r="R228" s="251"/>
      <c r="S228" s="251"/>
      <c r="T228" s="251"/>
      <c r="U228" s="251"/>
      <c r="V228" s="251"/>
      <c r="W228" s="251"/>
      <c r="X228" s="251"/>
      <c r="Y228" s="251"/>
      <c r="Z228" s="251"/>
      <c r="AA228" s="251"/>
      <c r="AB228" s="251"/>
      <c r="AC228" s="251"/>
      <c r="AD228" s="251"/>
      <c r="AE228" s="251"/>
      <c r="AF228" s="251"/>
      <c r="AG228" s="251"/>
      <c r="AH228" s="251"/>
      <c r="AI228" s="251"/>
      <c r="AJ228" s="251"/>
      <c r="AK228" s="251"/>
      <c r="AL228" s="251"/>
      <c r="AM228" s="251"/>
      <c r="AN228" s="251"/>
      <c r="AO228" s="251"/>
      <c r="AP228" s="251"/>
      <c r="AR228" s="251"/>
    </row>
    <row r="229" spans="1:44" ht="18">
      <c r="A229" s="251"/>
      <c r="B229" s="251"/>
      <c r="C229" s="251"/>
      <c r="D229" s="251"/>
      <c r="E229" s="251"/>
      <c r="F229" s="251"/>
      <c r="G229" s="251"/>
      <c r="H229" s="251"/>
      <c r="I229" s="251"/>
      <c r="J229" s="251"/>
      <c r="K229" s="251"/>
      <c r="L229" s="251"/>
      <c r="M229" s="251"/>
      <c r="N229" s="251"/>
      <c r="O229" s="251"/>
      <c r="P229" s="251"/>
      <c r="Q229" s="251"/>
      <c r="R229" s="251"/>
      <c r="S229" s="251"/>
      <c r="T229" s="251"/>
      <c r="U229" s="251"/>
      <c r="V229" s="251"/>
      <c r="W229" s="251"/>
      <c r="X229" s="251"/>
      <c r="Y229" s="251"/>
      <c r="Z229" s="251"/>
      <c r="AA229" s="251"/>
      <c r="AB229" s="251"/>
      <c r="AC229" s="251"/>
      <c r="AD229" s="251"/>
      <c r="AE229" s="251"/>
      <c r="AF229" s="251"/>
      <c r="AG229" s="251"/>
      <c r="AH229" s="251"/>
      <c r="AI229" s="251"/>
      <c r="AJ229" s="251"/>
      <c r="AK229" s="251"/>
      <c r="AL229" s="251"/>
      <c r="AM229" s="251"/>
      <c r="AN229" s="251"/>
      <c r="AO229" s="251"/>
      <c r="AP229" s="251"/>
      <c r="AR229" s="251"/>
    </row>
    <row r="230" spans="1:44" ht="18">
      <c r="A230" s="251"/>
      <c r="B230" s="251"/>
      <c r="C230" s="251"/>
      <c r="D230" s="251"/>
      <c r="E230" s="251"/>
      <c r="F230" s="251"/>
      <c r="G230" s="251"/>
      <c r="H230" s="251"/>
      <c r="I230" s="251"/>
      <c r="J230" s="251"/>
      <c r="K230" s="251"/>
      <c r="L230" s="251"/>
      <c r="M230" s="251"/>
      <c r="N230" s="251"/>
      <c r="O230" s="251"/>
      <c r="P230" s="251"/>
      <c r="Q230" s="251"/>
      <c r="R230" s="251"/>
      <c r="S230" s="251"/>
      <c r="T230" s="251"/>
      <c r="U230" s="251"/>
      <c r="V230" s="251"/>
      <c r="W230" s="251"/>
      <c r="X230" s="251"/>
      <c r="Y230" s="251"/>
      <c r="Z230" s="251"/>
      <c r="AA230" s="251"/>
      <c r="AB230" s="251"/>
      <c r="AC230" s="251"/>
      <c r="AD230" s="251"/>
      <c r="AE230" s="251"/>
      <c r="AF230" s="251"/>
      <c r="AG230" s="251"/>
      <c r="AH230" s="251"/>
      <c r="AI230" s="251"/>
      <c r="AJ230" s="251"/>
      <c r="AK230" s="251"/>
      <c r="AL230" s="251"/>
      <c r="AM230" s="251"/>
      <c r="AN230" s="251"/>
      <c r="AO230" s="251"/>
      <c r="AP230" s="251"/>
      <c r="AR230" s="251"/>
    </row>
    <row r="231" spans="1:44" ht="18">
      <c r="A231" s="251"/>
      <c r="B231" s="251"/>
      <c r="C231" s="251"/>
      <c r="D231" s="251"/>
      <c r="E231" s="251"/>
      <c r="F231" s="251"/>
      <c r="G231" s="251"/>
      <c r="H231" s="251"/>
      <c r="I231" s="251"/>
      <c r="J231" s="251"/>
      <c r="K231" s="251"/>
      <c r="L231" s="251"/>
      <c r="M231" s="251"/>
      <c r="N231" s="251"/>
      <c r="O231" s="251"/>
      <c r="P231" s="251"/>
      <c r="Q231" s="251"/>
      <c r="R231" s="251"/>
      <c r="S231" s="251"/>
      <c r="T231" s="251"/>
      <c r="U231" s="251"/>
      <c r="V231" s="251"/>
      <c r="W231" s="251"/>
      <c r="X231" s="251"/>
      <c r="Y231" s="251"/>
      <c r="Z231" s="251"/>
      <c r="AA231" s="251"/>
      <c r="AB231" s="251"/>
      <c r="AC231" s="251"/>
      <c r="AD231" s="251"/>
      <c r="AE231" s="251"/>
      <c r="AF231" s="251"/>
      <c r="AG231" s="251"/>
      <c r="AH231" s="251"/>
      <c r="AI231" s="251"/>
      <c r="AJ231" s="251"/>
      <c r="AK231" s="251"/>
      <c r="AL231" s="251"/>
      <c r="AM231" s="251"/>
      <c r="AN231" s="251"/>
      <c r="AO231" s="251"/>
      <c r="AP231" s="251"/>
      <c r="AR231" s="251"/>
    </row>
    <row r="232" spans="1:44" ht="18">
      <c r="A232" s="251"/>
      <c r="B232" s="251"/>
      <c r="C232" s="251"/>
      <c r="D232" s="251"/>
      <c r="E232" s="251"/>
      <c r="F232" s="251"/>
      <c r="G232" s="251"/>
      <c r="H232" s="251"/>
      <c r="I232" s="251"/>
      <c r="J232" s="251"/>
      <c r="K232" s="251"/>
      <c r="L232" s="251"/>
      <c r="M232" s="251"/>
      <c r="N232" s="251"/>
      <c r="O232" s="251"/>
      <c r="P232" s="251"/>
      <c r="Q232" s="251"/>
      <c r="R232" s="251"/>
      <c r="S232" s="251"/>
      <c r="T232" s="251"/>
      <c r="U232" s="251"/>
      <c r="V232" s="251"/>
      <c r="W232" s="251"/>
      <c r="X232" s="251"/>
      <c r="Y232" s="251"/>
      <c r="Z232" s="251"/>
      <c r="AA232" s="251"/>
      <c r="AB232" s="251"/>
      <c r="AC232" s="251"/>
      <c r="AD232" s="251"/>
      <c r="AE232" s="251"/>
      <c r="AF232" s="251"/>
      <c r="AG232" s="251"/>
      <c r="AH232" s="251"/>
      <c r="AI232" s="251"/>
      <c r="AJ232" s="251"/>
      <c r="AK232" s="251"/>
      <c r="AL232" s="251"/>
      <c r="AM232" s="251"/>
      <c r="AN232" s="251"/>
      <c r="AO232" s="251"/>
      <c r="AP232" s="251"/>
      <c r="AR232" s="251"/>
    </row>
    <row r="233" spans="1:44" ht="18">
      <c r="A233" s="251"/>
      <c r="B233" s="251"/>
      <c r="C233" s="251"/>
      <c r="D233" s="251"/>
      <c r="E233" s="251"/>
      <c r="F233" s="251"/>
      <c r="G233" s="251"/>
      <c r="H233" s="251"/>
      <c r="I233" s="251"/>
      <c r="J233" s="251"/>
      <c r="K233" s="251"/>
      <c r="L233" s="251"/>
      <c r="M233" s="251"/>
      <c r="N233" s="251"/>
      <c r="O233" s="251"/>
      <c r="P233" s="251"/>
      <c r="Q233" s="251"/>
      <c r="R233" s="251"/>
      <c r="S233" s="251"/>
      <c r="T233" s="251"/>
      <c r="U233" s="251"/>
      <c r="V233" s="251"/>
      <c r="W233" s="251"/>
      <c r="X233" s="251"/>
      <c r="Y233" s="251"/>
      <c r="Z233" s="251"/>
      <c r="AA233" s="251"/>
      <c r="AB233" s="251"/>
      <c r="AC233" s="251"/>
      <c r="AD233" s="251"/>
      <c r="AE233" s="251"/>
      <c r="AF233" s="251"/>
      <c r="AG233" s="251"/>
      <c r="AH233" s="251"/>
      <c r="AI233" s="251"/>
      <c r="AJ233" s="251"/>
      <c r="AK233" s="251"/>
      <c r="AL233" s="251"/>
      <c r="AM233" s="251"/>
      <c r="AN233" s="251"/>
      <c r="AO233" s="251"/>
      <c r="AP233" s="251"/>
      <c r="AR233" s="251"/>
    </row>
    <row r="234" spans="1:44" ht="18">
      <c r="A234" s="251"/>
      <c r="B234" s="251"/>
      <c r="C234" s="251"/>
      <c r="D234" s="251"/>
      <c r="E234" s="251"/>
      <c r="F234" s="251"/>
      <c r="G234" s="251"/>
      <c r="H234" s="251"/>
      <c r="I234" s="251"/>
      <c r="J234" s="251"/>
      <c r="K234" s="251"/>
      <c r="L234" s="251"/>
      <c r="M234" s="251"/>
      <c r="N234" s="251"/>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251"/>
      <c r="AL234" s="251"/>
      <c r="AM234" s="251"/>
      <c r="AN234" s="251"/>
      <c r="AO234" s="251"/>
      <c r="AP234" s="251"/>
      <c r="AR234" s="251"/>
    </row>
    <row r="235" spans="1:44" ht="18">
      <c r="A235" s="251"/>
      <c r="B235" s="251"/>
      <c r="C235" s="251"/>
      <c r="D235" s="251"/>
      <c r="E235" s="251"/>
      <c r="F235" s="251"/>
      <c r="G235" s="251"/>
      <c r="H235" s="251"/>
      <c r="I235" s="251"/>
      <c r="J235" s="251"/>
      <c r="K235" s="251"/>
      <c r="L235" s="251"/>
      <c r="M235" s="251"/>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251"/>
      <c r="AL235" s="251"/>
      <c r="AM235" s="251"/>
      <c r="AN235" s="251"/>
      <c r="AO235" s="251"/>
      <c r="AP235" s="251"/>
      <c r="AR235" s="251"/>
    </row>
    <row r="236" spans="1:44" ht="18">
      <c r="A236" s="251"/>
      <c r="B236" s="251"/>
      <c r="C236" s="251"/>
      <c r="D236" s="251"/>
      <c r="E236" s="251"/>
      <c r="F236" s="251"/>
      <c r="G236" s="251"/>
      <c r="H236" s="251"/>
      <c r="I236" s="251"/>
      <c r="J236" s="251"/>
      <c r="K236" s="251"/>
      <c r="L236" s="251"/>
      <c r="M236" s="251"/>
      <c r="N236" s="251"/>
      <c r="O236" s="251"/>
      <c r="P236" s="251"/>
      <c r="Q236" s="251"/>
      <c r="R236" s="251"/>
      <c r="S236" s="251"/>
      <c r="T236" s="251"/>
      <c r="U236" s="251"/>
      <c r="V236" s="251"/>
      <c r="W236" s="251"/>
      <c r="X236" s="251"/>
      <c r="Y236" s="251"/>
      <c r="Z236" s="251"/>
      <c r="AA236" s="251"/>
      <c r="AB236" s="251"/>
      <c r="AC236" s="251"/>
      <c r="AD236" s="251"/>
      <c r="AE236" s="251"/>
      <c r="AF236" s="251"/>
      <c r="AG236" s="251"/>
      <c r="AH236" s="251"/>
      <c r="AI236" s="251"/>
      <c r="AJ236" s="251"/>
      <c r="AK236" s="251"/>
      <c r="AL236" s="251"/>
      <c r="AM236" s="251"/>
      <c r="AN236" s="251"/>
      <c r="AO236" s="251"/>
      <c r="AP236" s="251"/>
      <c r="AR236" s="251"/>
    </row>
    <row r="237" spans="1:44" ht="18">
      <c r="A237" s="251"/>
      <c r="B237" s="251"/>
      <c r="C237" s="251"/>
      <c r="D237" s="251"/>
      <c r="E237" s="251"/>
      <c r="F237" s="251"/>
      <c r="G237" s="251"/>
      <c r="H237" s="251"/>
      <c r="I237" s="251"/>
      <c r="J237" s="251"/>
      <c r="K237" s="251"/>
      <c r="L237" s="251"/>
      <c r="M237" s="251"/>
      <c r="N237" s="251"/>
      <c r="O237" s="251"/>
      <c r="P237" s="251"/>
      <c r="Q237" s="251"/>
      <c r="R237" s="251"/>
      <c r="S237" s="251"/>
      <c r="T237" s="251"/>
      <c r="U237" s="251"/>
      <c r="V237" s="251"/>
      <c r="W237" s="251"/>
      <c r="X237" s="251"/>
      <c r="Y237" s="251"/>
      <c r="Z237" s="251"/>
      <c r="AA237" s="251"/>
      <c r="AB237" s="251"/>
      <c r="AC237" s="251"/>
      <c r="AD237" s="251"/>
      <c r="AE237" s="251"/>
      <c r="AF237" s="251"/>
      <c r="AG237" s="251"/>
      <c r="AH237" s="251"/>
      <c r="AI237" s="251"/>
      <c r="AJ237" s="251"/>
      <c r="AK237" s="251"/>
      <c r="AL237" s="251"/>
      <c r="AM237" s="251"/>
      <c r="AN237" s="251"/>
      <c r="AO237" s="251"/>
      <c r="AP237" s="251"/>
      <c r="AR237" s="251"/>
    </row>
    <row r="238" spans="1:44" ht="18">
      <c r="A238" s="251"/>
      <c r="B238" s="251"/>
      <c r="C238" s="251"/>
      <c r="D238" s="251"/>
      <c r="E238" s="251"/>
      <c r="F238" s="251"/>
      <c r="G238" s="251"/>
      <c r="H238" s="251"/>
      <c r="I238" s="251"/>
      <c r="J238" s="251"/>
      <c r="K238" s="251"/>
      <c r="L238" s="251"/>
      <c r="M238" s="251"/>
      <c r="N238" s="251"/>
      <c r="O238" s="251"/>
      <c r="P238" s="251"/>
      <c r="Q238" s="251"/>
      <c r="R238" s="251"/>
      <c r="S238" s="251"/>
      <c r="T238" s="251"/>
      <c r="U238" s="251"/>
      <c r="V238" s="251"/>
      <c r="W238" s="251"/>
      <c r="X238" s="251"/>
      <c r="Y238" s="251"/>
      <c r="Z238" s="251"/>
      <c r="AA238" s="251"/>
      <c r="AB238" s="251"/>
      <c r="AC238" s="251"/>
      <c r="AD238" s="251"/>
      <c r="AE238" s="251"/>
      <c r="AF238" s="251"/>
      <c r="AG238" s="251"/>
      <c r="AH238" s="251"/>
      <c r="AI238" s="251"/>
      <c r="AJ238" s="251"/>
      <c r="AK238" s="251"/>
      <c r="AL238" s="251"/>
      <c r="AM238" s="251"/>
      <c r="AN238" s="251"/>
      <c r="AO238" s="251"/>
      <c r="AP238" s="251"/>
      <c r="AR238" s="251"/>
    </row>
    <row r="239" spans="1:44" ht="18">
      <c r="A239" s="251"/>
      <c r="B239" s="251"/>
      <c r="C239" s="251"/>
      <c r="D239" s="251"/>
      <c r="E239" s="251"/>
      <c r="F239" s="251"/>
      <c r="G239" s="251"/>
      <c r="H239" s="251"/>
      <c r="I239" s="251"/>
      <c r="J239" s="251"/>
      <c r="K239" s="251"/>
      <c r="L239" s="251"/>
      <c r="M239" s="251"/>
      <c r="N239" s="251"/>
      <c r="O239" s="251"/>
      <c r="P239" s="251"/>
      <c r="Q239" s="251"/>
      <c r="R239" s="251"/>
      <c r="S239" s="251"/>
      <c r="T239" s="251"/>
      <c r="U239" s="251"/>
      <c r="V239" s="251"/>
      <c r="W239" s="251"/>
      <c r="X239" s="251"/>
      <c r="Y239" s="251"/>
      <c r="Z239" s="251"/>
      <c r="AA239" s="251"/>
      <c r="AB239" s="251"/>
      <c r="AC239" s="251"/>
      <c r="AD239" s="251"/>
      <c r="AE239" s="251"/>
      <c r="AF239" s="251"/>
      <c r="AG239" s="251"/>
      <c r="AH239" s="251"/>
      <c r="AI239" s="251"/>
      <c r="AJ239" s="251"/>
      <c r="AK239" s="251"/>
      <c r="AL239" s="251"/>
      <c r="AM239" s="251"/>
      <c r="AN239" s="251"/>
      <c r="AO239" s="251"/>
      <c r="AP239" s="251"/>
      <c r="AR239" s="251"/>
    </row>
    <row r="240" spans="1:44" ht="18">
      <c r="A240" s="251"/>
      <c r="B240" s="251"/>
      <c r="C240" s="251"/>
      <c r="D240" s="251"/>
      <c r="E240" s="251"/>
      <c r="F240" s="251"/>
      <c r="G240" s="251"/>
      <c r="H240" s="251"/>
      <c r="I240" s="251"/>
      <c r="J240" s="251"/>
      <c r="K240" s="251"/>
      <c r="L240" s="251"/>
      <c r="M240" s="251"/>
      <c r="N240" s="251"/>
      <c r="O240" s="251"/>
      <c r="P240" s="251"/>
      <c r="Q240" s="251"/>
      <c r="R240" s="251"/>
      <c r="S240" s="251"/>
      <c r="T240" s="251"/>
      <c r="U240" s="251"/>
      <c r="V240" s="251"/>
      <c r="W240" s="251"/>
      <c r="X240" s="251"/>
      <c r="Y240" s="251"/>
      <c r="Z240" s="251"/>
      <c r="AA240" s="251"/>
      <c r="AB240" s="251"/>
      <c r="AC240" s="251"/>
      <c r="AD240" s="251"/>
      <c r="AE240" s="251"/>
      <c r="AF240" s="251"/>
      <c r="AG240" s="251"/>
      <c r="AH240" s="251"/>
      <c r="AI240" s="251"/>
      <c r="AJ240" s="251"/>
      <c r="AK240" s="251"/>
      <c r="AL240" s="251"/>
      <c r="AM240" s="251"/>
      <c r="AN240" s="251"/>
      <c r="AO240" s="251"/>
      <c r="AP240" s="251"/>
      <c r="AR240" s="251"/>
    </row>
    <row r="241" spans="1:44" ht="18">
      <c r="A241" s="251"/>
      <c r="B241" s="251"/>
      <c r="C241" s="251"/>
      <c r="D241" s="251"/>
      <c r="E241" s="251"/>
      <c r="F241" s="251"/>
      <c r="G241" s="251"/>
      <c r="H241" s="251"/>
      <c r="I241" s="251"/>
      <c r="J241" s="251"/>
      <c r="K241" s="251"/>
      <c r="L241" s="251"/>
      <c r="M241" s="251"/>
      <c r="N241" s="251"/>
      <c r="O241" s="251"/>
      <c r="P241" s="251"/>
      <c r="Q241" s="251"/>
      <c r="R241" s="251"/>
      <c r="S241" s="251"/>
      <c r="T241" s="251"/>
      <c r="U241" s="251"/>
      <c r="V241" s="251"/>
      <c r="W241" s="251"/>
      <c r="X241" s="251"/>
      <c r="Y241" s="251"/>
      <c r="Z241" s="251"/>
      <c r="AA241" s="251"/>
      <c r="AB241" s="251"/>
      <c r="AC241" s="251"/>
      <c r="AD241" s="251"/>
      <c r="AE241" s="251"/>
      <c r="AF241" s="251"/>
      <c r="AG241" s="251"/>
      <c r="AH241" s="251"/>
      <c r="AI241" s="251"/>
      <c r="AJ241" s="251"/>
      <c r="AK241" s="251"/>
      <c r="AL241" s="251"/>
      <c r="AM241" s="251"/>
      <c r="AN241" s="251"/>
      <c r="AO241" s="251"/>
      <c r="AP241" s="251"/>
      <c r="AR241" s="251"/>
    </row>
    <row r="242" spans="1:44" ht="18">
      <c r="A242" s="251"/>
      <c r="B242" s="251"/>
      <c r="C242" s="251"/>
      <c r="D242" s="251"/>
      <c r="E242" s="251"/>
      <c r="F242" s="251"/>
      <c r="G242" s="251"/>
      <c r="H242" s="251"/>
      <c r="I242" s="251"/>
      <c r="J242" s="251"/>
      <c r="K242" s="251"/>
      <c r="L242" s="251"/>
      <c r="M242" s="251"/>
      <c r="N242" s="251"/>
      <c r="O242" s="251"/>
      <c r="P242" s="251"/>
      <c r="Q242" s="251"/>
      <c r="R242" s="251"/>
      <c r="S242" s="251"/>
      <c r="T242" s="251"/>
      <c r="U242" s="251"/>
      <c r="V242" s="251"/>
      <c r="W242" s="251"/>
      <c r="X242" s="251"/>
      <c r="Y242" s="251"/>
      <c r="Z242" s="251"/>
      <c r="AA242" s="251"/>
      <c r="AB242" s="251"/>
      <c r="AC242" s="251"/>
      <c r="AD242" s="251"/>
      <c r="AE242" s="251"/>
      <c r="AF242" s="251"/>
      <c r="AG242" s="251"/>
      <c r="AH242" s="251"/>
      <c r="AI242" s="251"/>
      <c r="AJ242" s="251"/>
      <c r="AK242" s="251"/>
      <c r="AL242" s="251"/>
      <c r="AM242" s="251"/>
      <c r="AN242" s="251"/>
      <c r="AO242" s="251"/>
      <c r="AP242" s="251"/>
      <c r="AR242" s="251"/>
    </row>
    <row r="243" spans="1:44" ht="18">
      <c r="A243" s="251"/>
      <c r="B243" s="251"/>
      <c r="C243" s="251"/>
      <c r="D243" s="251"/>
      <c r="E243" s="251"/>
      <c r="F243" s="251"/>
      <c r="G243" s="251"/>
      <c r="H243" s="251"/>
      <c r="I243" s="251"/>
      <c r="J243" s="251"/>
      <c r="K243" s="251"/>
      <c r="L243" s="251"/>
      <c r="M243" s="251"/>
      <c r="N243" s="251"/>
      <c r="O243" s="251"/>
      <c r="P243" s="251"/>
      <c r="Q243" s="251"/>
      <c r="R243" s="251"/>
      <c r="S243" s="251"/>
      <c r="T243" s="251"/>
      <c r="U243" s="251"/>
      <c r="V243" s="251"/>
      <c r="W243" s="251"/>
      <c r="X243" s="251"/>
      <c r="Y243" s="251"/>
      <c r="Z243" s="251"/>
      <c r="AA243" s="251"/>
      <c r="AB243" s="251"/>
      <c r="AC243" s="251"/>
      <c r="AD243" s="251"/>
      <c r="AE243" s="251"/>
      <c r="AF243" s="251"/>
      <c r="AG243" s="251"/>
      <c r="AH243" s="251"/>
      <c r="AI243" s="251"/>
      <c r="AJ243" s="251"/>
      <c r="AK243" s="251"/>
      <c r="AL243" s="251"/>
      <c r="AM243" s="251"/>
      <c r="AN243" s="251"/>
      <c r="AO243" s="251"/>
      <c r="AP243" s="251"/>
      <c r="AR243" s="251"/>
    </row>
    <row r="244" spans="1:44" ht="18">
      <c r="A244" s="251"/>
      <c r="B244" s="251"/>
      <c r="C244" s="251"/>
      <c r="D244" s="251"/>
      <c r="E244" s="251"/>
      <c r="F244" s="251"/>
      <c r="G244" s="251"/>
      <c r="H244" s="251"/>
      <c r="I244" s="251"/>
      <c r="J244" s="251"/>
      <c r="K244" s="251"/>
      <c r="L244" s="251"/>
      <c r="M244" s="251"/>
      <c r="N244" s="251"/>
      <c r="O244" s="251"/>
      <c r="P244" s="251"/>
      <c r="Q244" s="251"/>
      <c r="R244" s="251"/>
      <c r="S244" s="251"/>
      <c r="T244" s="251"/>
      <c r="U244" s="251"/>
      <c r="V244" s="251"/>
      <c r="W244" s="251"/>
      <c r="X244" s="251"/>
      <c r="Y244" s="251"/>
      <c r="Z244" s="251"/>
      <c r="AA244" s="251"/>
      <c r="AB244" s="251"/>
      <c r="AC244" s="251"/>
      <c r="AD244" s="251"/>
      <c r="AE244" s="251"/>
      <c r="AF244" s="251"/>
      <c r="AG244" s="251"/>
      <c r="AH244" s="251"/>
      <c r="AI244" s="251"/>
      <c r="AJ244" s="251"/>
      <c r="AK244" s="251"/>
      <c r="AL244" s="251"/>
      <c r="AM244" s="251"/>
      <c r="AN244" s="251"/>
      <c r="AO244" s="251"/>
      <c r="AP244" s="251"/>
      <c r="AR244" s="251"/>
    </row>
    <row r="245" spans="1:44" ht="18">
      <c r="A245" s="251"/>
      <c r="B245" s="251"/>
      <c r="C245" s="251"/>
      <c r="D245" s="251"/>
      <c r="E245" s="251"/>
      <c r="F245" s="251"/>
      <c r="G245" s="251"/>
      <c r="H245" s="251"/>
      <c r="I245" s="251"/>
      <c r="J245" s="251"/>
      <c r="K245" s="251"/>
      <c r="L245" s="251"/>
      <c r="M245" s="251"/>
      <c r="N245" s="251"/>
      <c r="O245" s="251"/>
      <c r="P245" s="251"/>
      <c r="Q245" s="251"/>
      <c r="R245" s="251"/>
      <c r="S245" s="251"/>
      <c r="T245" s="251"/>
      <c r="U245" s="251"/>
      <c r="V245" s="251"/>
      <c r="W245" s="251"/>
      <c r="X245" s="251"/>
      <c r="Y245" s="251"/>
      <c r="Z245" s="251"/>
      <c r="AA245" s="251"/>
      <c r="AB245" s="251"/>
      <c r="AC245" s="251"/>
      <c r="AD245" s="251"/>
      <c r="AE245" s="251"/>
      <c r="AF245" s="251"/>
      <c r="AG245" s="251"/>
      <c r="AH245" s="251"/>
      <c r="AI245" s="251"/>
      <c r="AJ245" s="251"/>
      <c r="AK245" s="251"/>
      <c r="AL245" s="251"/>
      <c r="AM245" s="251"/>
      <c r="AN245" s="251"/>
      <c r="AO245" s="251"/>
      <c r="AP245" s="251"/>
      <c r="AR245" s="251"/>
    </row>
    <row r="246" spans="1:44" ht="18">
      <c r="A246" s="251"/>
      <c r="B246" s="251"/>
      <c r="C246" s="251"/>
      <c r="D246" s="251"/>
      <c r="E246" s="251"/>
      <c r="F246" s="251"/>
      <c r="G246" s="251"/>
      <c r="H246" s="251"/>
      <c r="I246" s="251"/>
      <c r="J246" s="251"/>
      <c r="K246" s="251"/>
      <c r="L246" s="251"/>
      <c r="M246" s="251"/>
      <c r="N246" s="251"/>
      <c r="O246" s="251"/>
      <c r="P246" s="251"/>
      <c r="Q246" s="251"/>
      <c r="R246" s="251"/>
      <c r="S246" s="251"/>
      <c r="T246" s="251"/>
      <c r="U246" s="251"/>
      <c r="V246" s="251"/>
      <c r="W246" s="251"/>
      <c r="X246" s="251"/>
      <c r="Y246" s="251"/>
      <c r="Z246" s="251"/>
      <c r="AA246" s="251"/>
      <c r="AB246" s="251"/>
      <c r="AC246" s="251"/>
      <c r="AD246" s="251"/>
      <c r="AE246" s="251"/>
      <c r="AF246" s="251"/>
      <c r="AG246" s="251"/>
      <c r="AH246" s="251"/>
      <c r="AI246" s="251"/>
      <c r="AJ246" s="251"/>
      <c r="AK246" s="251"/>
      <c r="AL246" s="251"/>
      <c r="AM246" s="251"/>
      <c r="AN246" s="251"/>
      <c r="AO246" s="251"/>
      <c r="AP246" s="251"/>
      <c r="AR246" s="251"/>
    </row>
    <row r="247" spans="1:44" ht="18">
      <c r="A247" s="251"/>
      <c r="B247" s="251"/>
      <c r="C247" s="251"/>
      <c r="D247" s="251"/>
      <c r="E247" s="251"/>
      <c r="F247" s="251"/>
      <c r="G247" s="251"/>
      <c r="H247" s="251"/>
      <c r="I247" s="251"/>
      <c r="J247" s="251"/>
      <c r="K247" s="251"/>
      <c r="L247" s="251"/>
      <c r="M247" s="251"/>
      <c r="N247" s="251"/>
      <c r="O247" s="251"/>
      <c r="P247" s="251"/>
      <c r="Q247" s="251"/>
      <c r="R247" s="251"/>
      <c r="S247" s="251"/>
      <c r="T247" s="251"/>
      <c r="U247" s="251"/>
      <c r="V247" s="251"/>
      <c r="W247" s="251"/>
      <c r="X247" s="251"/>
      <c r="Y247" s="251"/>
      <c r="Z247" s="251"/>
      <c r="AA247" s="251"/>
      <c r="AB247" s="251"/>
      <c r="AC247" s="251"/>
      <c r="AD247" s="251"/>
      <c r="AE247" s="251"/>
      <c r="AF247" s="251"/>
      <c r="AG247" s="251"/>
      <c r="AH247" s="251"/>
      <c r="AI247" s="251"/>
      <c r="AJ247" s="251"/>
      <c r="AK247" s="251"/>
      <c r="AL247" s="251"/>
      <c r="AM247" s="251"/>
      <c r="AN247" s="251"/>
      <c r="AO247" s="251"/>
      <c r="AP247" s="251"/>
      <c r="AR247" s="251"/>
    </row>
    <row r="248" spans="1:44" ht="18">
      <c r="A248" s="251"/>
      <c r="B248" s="251"/>
      <c r="C248" s="251"/>
      <c r="D248" s="251"/>
      <c r="E248" s="251"/>
      <c r="F248" s="251"/>
      <c r="G248" s="251"/>
      <c r="H248" s="251"/>
      <c r="I248" s="251"/>
      <c r="J248" s="251"/>
      <c r="K248" s="251"/>
      <c r="L248" s="251"/>
      <c r="M248" s="251"/>
      <c r="N248" s="251"/>
      <c r="O248" s="251"/>
      <c r="P248" s="251"/>
      <c r="Q248" s="251"/>
      <c r="R248" s="251"/>
      <c r="S248" s="251"/>
      <c r="T248" s="251"/>
      <c r="U248" s="251"/>
      <c r="V248" s="251"/>
      <c r="W248" s="251"/>
      <c r="X248" s="251"/>
      <c r="Y248" s="251"/>
      <c r="Z248" s="251"/>
      <c r="AA248" s="251"/>
      <c r="AB248" s="251"/>
      <c r="AC248" s="251"/>
      <c r="AD248" s="251"/>
      <c r="AE248" s="251"/>
      <c r="AF248" s="251"/>
      <c r="AG248" s="251"/>
      <c r="AH248" s="251"/>
      <c r="AI248" s="251"/>
      <c r="AJ248" s="251"/>
      <c r="AK248" s="251"/>
      <c r="AL248" s="251"/>
      <c r="AM248" s="251"/>
      <c r="AN248" s="251"/>
      <c r="AO248" s="251"/>
      <c r="AP248" s="251"/>
      <c r="AR248" s="251"/>
    </row>
    <row r="249" spans="1:44" ht="18">
      <c r="A249" s="251"/>
      <c r="B249" s="251"/>
      <c r="C249" s="251"/>
      <c r="D249" s="251"/>
      <c r="E249" s="251"/>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c r="AN249" s="251"/>
      <c r="AO249" s="251"/>
      <c r="AP249" s="251"/>
      <c r="AR249" s="251"/>
    </row>
    <row r="250" spans="1:44" ht="18">
      <c r="A250" s="251"/>
      <c r="B250" s="251"/>
      <c r="C250" s="251"/>
      <c r="D250" s="251"/>
      <c r="E250" s="251"/>
      <c r="F250" s="251"/>
      <c r="G250" s="251"/>
      <c r="H250" s="251"/>
      <c r="I250" s="251"/>
      <c r="J250" s="251"/>
      <c r="K250" s="251"/>
      <c r="L250" s="251"/>
      <c r="M250" s="251"/>
      <c r="N250" s="251"/>
      <c r="O250" s="251"/>
      <c r="P250" s="251"/>
      <c r="Q250" s="251"/>
      <c r="R250" s="251"/>
      <c r="S250" s="251"/>
      <c r="T250" s="251"/>
      <c r="U250" s="251"/>
      <c r="V250" s="251"/>
      <c r="W250" s="251"/>
      <c r="X250" s="251"/>
      <c r="Y250" s="251"/>
      <c r="Z250" s="251"/>
      <c r="AA250" s="251"/>
      <c r="AB250" s="251"/>
      <c r="AC250" s="251"/>
      <c r="AD250" s="251"/>
      <c r="AE250" s="251"/>
      <c r="AF250" s="251"/>
      <c r="AG250" s="251"/>
      <c r="AH250" s="251"/>
      <c r="AI250" s="251"/>
      <c r="AJ250" s="251"/>
      <c r="AK250" s="251"/>
      <c r="AL250" s="251"/>
      <c r="AM250" s="251"/>
      <c r="AN250" s="251"/>
      <c r="AO250" s="251"/>
      <c r="AP250" s="251"/>
      <c r="AR250" s="251"/>
    </row>
    <row r="251" spans="1:44" ht="18">
      <c r="A251" s="251"/>
      <c r="B251" s="251"/>
      <c r="C251" s="251"/>
      <c r="D251" s="251"/>
      <c r="E251" s="251"/>
      <c r="F251" s="251"/>
      <c r="G251" s="251"/>
      <c r="H251" s="251"/>
      <c r="I251" s="251"/>
      <c r="J251" s="251"/>
      <c r="K251" s="251"/>
      <c r="L251" s="251"/>
      <c r="M251" s="251"/>
      <c r="N251" s="251"/>
      <c r="O251" s="251"/>
      <c r="P251" s="251"/>
      <c r="Q251" s="251"/>
      <c r="R251" s="251"/>
      <c r="S251" s="251"/>
      <c r="T251" s="251"/>
      <c r="U251" s="251"/>
      <c r="V251" s="251"/>
      <c r="W251" s="251"/>
      <c r="X251" s="251"/>
      <c r="Y251" s="251"/>
      <c r="Z251" s="251"/>
      <c r="AA251" s="251"/>
      <c r="AB251" s="251"/>
      <c r="AC251" s="251"/>
      <c r="AD251" s="251"/>
      <c r="AE251" s="251"/>
      <c r="AF251" s="251"/>
      <c r="AG251" s="251"/>
      <c r="AH251" s="251"/>
      <c r="AI251" s="251"/>
      <c r="AJ251" s="251"/>
      <c r="AK251" s="251"/>
      <c r="AL251" s="251"/>
      <c r="AM251" s="251"/>
      <c r="AN251" s="251"/>
      <c r="AO251" s="251"/>
      <c r="AP251" s="251"/>
      <c r="AR251" s="251"/>
    </row>
    <row r="252" spans="1:44" ht="18">
      <c r="A252" s="251"/>
      <c r="B252" s="251"/>
      <c r="C252" s="251"/>
      <c r="D252" s="251"/>
      <c r="E252" s="251"/>
      <c r="F252" s="251"/>
      <c r="G252" s="251"/>
      <c r="H252" s="251"/>
      <c r="I252" s="251"/>
      <c r="J252" s="251"/>
      <c r="K252" s="251"/>
      <c r="L252" s="251"/>
      <c r="M252" s="251"/>
      <c r="N252" s="251"/>
      <c r="O252" s="251"/>
      <c r="P252" s="251"/>
      <c r="Q252" s="251"/>
      <c r="R252" s="251"/>
      <c r="S252" s="251"/>
      <c r="T252" s="251"/>
      <c r="U252" s="251"/>
      <c r="V252" s="251"/>
      <c r="W252" s="251"/>
      <c r="X252" s="251"/>
      <c r="Y252" s="251"/>
      <c r="Z252" s="251"/>
      <c r="AA252" s="251"/>
      <c r="AB252" s="251"/>
      <c r="AC252" s="251"/>
      <c r="AD252" s="251"/>
      <c r="AE252" s="251"/>
      <c r="AF252" s="251"/>
      <c r="AG252" s="251"/>
      <c r="AH252" s="251"/>
      <c r="AI252" s="251"/>
      <c r="AJ252" s="251"/>
      <c r="AK252" s="251"/>
      <c r="AL252" s="251"/>
      <c r="AM252" s="251"/>
      <c r="AN252" s="251"/>
      <c r="AO252" s="251"/>
      <c r="AP252" s="251"/>
      <c r="AR252" s="251"/>
    </row>
    <row r="253" spans="1:44" ht="18">
      <c r="A253" s="251"/>
      <c r="B253" s="251"/>
      <c r="C253" s="251"/>
      <c r="D253" s="251"/>
      <c r="E253" s="251"/>
      <c r="F253" s="251"/>
      <c r="G253" s="251"/>
      <c r="H253" s="251"/>
      <c r="I253" s="251"/>
      <c r="J253" s="251"/>
      <c r="K253" s="251"/>
      <c r="L253" s="251"/>
      <c r="M253" s="251"/>
      <c r="N253" s="251"/>
      <c r="O253" s="251"/>
      <c r="P253" s="251"/>
      <c r="Q253" s="251"/>
      <c r="R253" s="251"/>
      <c r="S253" s="251"/>
      <c r="T253" s="251"/>
      <c r="U253" s="251"/>
      <c r="V253" s="251"/>
      <c r="W253" s="251"/>
      <c r="X253" s="251"/>
      <c r="Y253" s="251"/>
      <c r="Z253" s="251"/>
      <c r="AA253" s="251"/>
      <c r="AB253" s="251"/>
      <c r="AC253" s="251"/>
      <c r="AD253" s="251"/>
      <c r="AE253" s="251"/>
      <c r="AF253" s="251"/>
      <c r="AG253" s="251"/>
      <c r="AH253" s="251"/>
      <c r="AI253" s="251"/>
      <c r="AJ253" s="251"/>
      <c r="AK253" s="251"/>
      <c r="AL253" s="251"/>
      <c r="AM253" s="251"/>
      <c r="AN253" s="251"/>
      <c r="AO253" s="251"/>
      <c r="AP253" s="251"/>
      <c r="AR253" s="251"/>
    </row>
    <row r="254" spans="1:44" ht="18">
      <c r="A254" s="251"/>
      <c r="B254" s="251"/>
      <c r="C254" s="251"/>
      <c r="D254" s="251"/>
      <c r="E254" s="251"/>
      <c r="F254" s="251"/>
      <c r="G254" s="251"/>
      <c r="H254" s="251"/>
      <c r="I254" s="251"/>
      <c r="J254" s="251"/>
      <c r="K254" s="251"/>
      <c r="L254" s="251"/>
      <c r="M254" s="251"/>
      <c r="N254" s="251"/>
      <c r="O254" s="251"/>
      <c r="P254" s="251"/>
      <c r="Q254" s="251"/>
      <c r="R254" s="251"/>
      <c r="S254" s="251"/>
      <c r="T254" s="251"/>
      <c r="U254" s="251"/>
      <c r="V254" s="251"/>
      <c r="W254" s="251"/>
      <c r="X254" s="251"/>
      <c r="Y254" s="251"/>
      <c r="Z254" s="251"/>
      <c r="AA254" s="251"/>
      <c r="AB254" s="251"/>
      <c r="AC254" s="251"/>
      <c r="AD254" s="251"/>
      <c r="AE254" s="251"/>
      <c r="AF254" s="251"/>
      <c r="AG254" s="251"/>
      <c r="AH254" s="251"/>
      <c r="AI254" s="251"/>
      <c r="AJ254" s="251"/>
      <c r="AK254" s="251"/>
      <c r="AL254" s="251"/>
      <c r="AM254" s="251"/>
      <c r="AN254" s="251"/>
      <c r="AO254" s="251"/>
      <c r="AP254" s="251"/>
      <c r="AR254" s="251"/>
    </row>
    <row r="255" spans="1:44" ht="18">
      <c r="A255" s="251"/>
      <c r="B255" s="251"/>
      <c r="C255" s="251"/>
      <c r="D255" s="251"/>
      <c r="E255" s="251"/>
      <c r="F255" s="251"/>
      <c r="G255" s="251"/>
      <c r="H255" s="251"/>
      <c r="I255" s="251"/>
      <c r="J255" s="251"/>
      <c r="K255" s="251"/>
      <c r="L255" s="251"/>
      <c r="M255" s="251"/>
      <c r="N255" s="251"/>
      <c r="O255" s="251"/>
      <c r="P255" s="251"/>
      <c r="Q255" s="251"/>
      <c r="R255" s="251"/>
      <c r="S255" s="251"/>
      <c r="T255" s="251"/>
      <c r="U255" s="251"/>
      <c r="V255" s="251"/>
      <c r="W255" s="251"/>
      <c r="X255" s="251"/>
      <c r="Y255" s="251"/>
      <c r="Z255" s="251"/>
      <c r="AA255" s="251"/>
      <c r="AB255" s="251"/>
      <c r="AC255" s="251"/>
      <c r="AD255" s="251"/>
      <c r="AE255" s="251"/>
      <c r="AF255" s="251"/>
      <c r="AG255" s="251"/>
      <c r="AH255" s="251"/>
      <c r="AI255" s="251"/>
      <c r="AJ255" s="251"/>
      <c r="AK255" s="251"/>
      <c r="AL255" s="251"/>
      <c r="AM255" s="251"/>
      <c r="AN255" s="251"/>
      <c r="AO255" s="251"/>
      <c r="AP255" s="251"/>
      <c r="AR255" s="251"/>
    </row>
    <row r="256" spans="1:44" ht="18">
      <c r="A256" s="251"/>
      <c r="B256" s="251"/>
      <c r="C256" s="251"/>
      <c r="D256" s="251"/>
      <c r="E256" s="251"/>
      <c r="F256" s="251"/>
      <c r="G256" s="251"/>
      <c r="H256" s="251"/>
      <c r="I256" s="251"/>
      <c r="J256" s="251"/>
      <c r="K256" s="251"/>
      <c r="L256" s="251"/>
      <c r="M256" s="251"/>
      <c r="N256" s="251"/>
      <c r="O256" s="251"/>
      <c r="P256" s="251"/>
      <c r="Q256" s="251"/>
      <c r="R256" s="251"/>
      <c r="S256" s="251"/>
      <c r="T256" s="251"/>
      <c r="U256" s="251"/>
      <c r="V256" s="251"/>
      <c r="W256" s="251"/>
      <c r="X256" s="251"/>
      <c r="Y256" s="251"/>
      <c r="Z256" s="251"/>
      <c r="AA256" s="251"/>
      <c r="AB256" s="251"/>
      <c r="AC256" s="251"/>
      <c r="AD256" s="251"/>
      <c r="AE256" s="251"/>
      <c r="AF256" s="251"/>
      <c r="AG256" s="251"/>
      <c r="AH256" s="251"/>
      <c r="AI256" s="251"/>
      <c r="AJ256" s="251"/>
      <c r="AK256" s="251"/>
      <c r="AL256" s="251"/>
      <c r="AM256" s="251"/>
      <c r="AN256" s="251"/>
      <c r="AO256" s="251"/>
      <c r="AP256" s="251"/>
      <c r="AR256" s="251"/>
    </row>
    <row r="257" spans="1:44" ht="18">
      <c r="A257" s="251"/>
      <c r="B257" s="251"/>
      <c r="C257" s="251"/>
      <c r="D257" s="251"/>
      <c r="E257" s="251"/>
      <c r="F257" s="251"/>
      <c r="G257" s="251"/>
      <c r="H257" s="251"/>
      <c r="I257" s="251"/>
      <c r="J257" s="251"/>
      <c r="K257" s="251"/>
      <c r="L257" s="251"/>
      <c r="M257" s="251"/>
      <c r="N257" s="251"/>
      <c r="O257" s="251"/>
      <c r="P257" s="251"/>
      <c r="Q257" s="251"/>
      <c r="R257" s="251"/>
      <c r="S257" s="251"/>
      <c r="T257" s="251"/>
      <c r="U257" s="251"/>
      <c r="V257" s="251"/>
      <c r="W257" s="251"/>
      <c r="X257" s="251"/>
      <c r="Y257" s="251"/>
      <c r="Z257" s="251"/>
      <c r="AA257" s="251"/>
      <c r="AB257" s="251"/>
      <c r="AC257" s="251"/>
      <c r="AD257" s="251"/>
      <c r="AE257" s="251"/>
      <c r="AF257" s="251"/>
      <c r="AG257" s="251"/>
      <c r="AH257" s="251"/>
      <c r="AI257" s="251"/>
      <c r="AJ257" s="251"/>
      <c r="AK257" s="251"/>
      <c r="AL257" s="251"/>
      <c r="AM257" s="251"/>
      <c r="AN257" s="251"/>
      <c r="AO257" s="251"/>
      <c r="AP257" s="251"/>
      <c r="AR257" s="251"/>
    </row>
    <row r="258" spans="1:44" ht="18">
      <c r="A258" s="251"/>
      <c r="B258" s="251"/>
      <c r="C258" s="251"/>
      <c r="D258" s="251"/>
      <c r="E258" s="251"/>
      <c r="F258" s="251"/>
      <c r="G258" s="251"/>
      <c r="H258" s="251"/>
      <c r="I258" s="251"/>
      <c r="J258" s="251"/>
      <c r="K258" s="251"/>
      <c r="L258" s="251"/>
      <c r="M258" s="251"/>
      <c r="N258" s="251"/>
      <c r="O258" s="251"/>
      <c r="P258" s="251"/>
      <c r="Q258" s="251"/>
      <c r="R258" s="251"/>
      <c r="S258" s="251"/>
      <c r="T258" s="251"/>
      <c r="U258" s="251"/>
      <c r="V258" s="251"/>
      <c r="W258" s="251"/>
      <c r="X258" s="251"/>
      <c r="Y258" s="251"/>
      <c r="Z258" s="251"/>
      <c r="AA258" s="251"/>
      <c r="AB258" s="251"/>
      <c r="AC258" s="251"/>
      <c r="AD258" s="251"/>
      <c r="AE258" s="251"/>
      <c r="AF258" s="251"/>
      <c r="AG258" s="251"/>
      <c r="AH258" s="251"/>
      <c r="AI258" s="251"/>
      <c r="AJ258" s="251"/>
      <c r="AK258" s="251"/>
      <c r="AL258" s="251"/>
      <c r="AM258" s="251"/>
      <c r="AN258" s="251"/>
      <c r="AO258" s="251"/>
      <c r="AP258" s="251"/>
      <c r="AR258" s="251"/>
    </row>
    <row r="259" spans="1:44" ht="18">
      <c r="A259" s="251"/>
      <c r="B259" s="251"/>
      <c r="C259" s="251"/>
      <c r="D259" s="251"/>
      <c r="E259" s="251"/>
      <c r="F259" s="251"/>
      <c r="G259" s="251"/>
      <c r="H259" s="251"/>
      <c r="I259" s="251"/>
      <c r="J259" s="251"/>
      <c r="K259" s="251"/>
      <c r="L259" s="251"/>
      <c r="M259" s="251"/>
      <c r="N259" s="251"/>
      <c r="O259" s="251"/>
      <c r="P259" s="251"/>
      <c r="Q259" s="251"/>
      <c r="R259" s="251"/>
      <c r="S259" s="251"/>
      <c r="T259" s="251"/>
      <c r="U259" s="251"/>
      <c r="V259" s="251"/>
      <c r="W259" s="251"/>
      <c r="X259" s="251"/>
      <c r="Y259" s="251"/>
      <c r="Z259" s="251"/>
      <c r="AA259" s="251"/>
      <c r="AB259" s="251"/>
      <c r="AC259" s="251"/>
      <c r="AD259" s="251"/>
      <c r="AE259" s="251"/>
      <c r="AF259" s="251"/>
      <c r="AG259" s="251"/>
      <c r="AH259" s="251"/>
      <c r="AI259" s="251"/>
      <c r="AJ259" s="251"/>
      <c r="AK259" s="251"/>
      <c r="AL259" s="251"/>
      <c r="AM259" s="251"/>
      <c r="AN259" s="251"/>
      <c r="AO259" s="251"/>
      <c r="AP259" s="251"/>
      <c r="AR259" s="251"/>
    </row>
    <row r="260" spans="1:44" ht="18">
      <c r="A260" s="251"/>
      <c r="B260" s="251"/>
      <c r="C260" s="251"/>
      <c r="D260" s="251"/>
      <c r="E260" s="251"/>
      <c r="F260" s="251"/>
      <c r="G260" s="251"/>
      <c r="H260" s="251"/>
      <c r="I260" s="251"/>
      <c r="J260" s="251"/>
      <c r="K260" s="251"/>
      <c r="L260" s="251"/>
      <c r="M260" s="251"/>
      <c r="N260" s="251"/>
      <c r="O260" s="251"/>
      <c r="P260" s="251"/>
      <c r="Q260" s="251"/>
      <c r="R260" s="251"/>
      <c r="S260" s="251"/>
      <c r="T260" s="251"/>
      <c r="U260" s="251"/>
      <c r="V260" s="251"/>
      <c r="W260" s="251"/>
      <c r="X260" s="251"/>
      <c r="Y260" s="251"/>
      <c r="Z260" s="251"/>
      <c r="AA260" s="251"/>
      <c r="AB260" s="251"/>
      <c r="AC260" s="251"/>
      <c r="AD260" s="251"/>
      <c r="AE260" s="251"/>
      <c r="AF260" s="251"/>
      <c r="AG260" s="251"/>
      <c r="AH260" s="251"/>
      <c r="AI260" s="251"/>
      <c r="AJ260" s="251"/>
      <c r="AK260" s="251"/>
      <c r="AL260" s="251"/>
      <c r="AM260" s="251"/>
      <c r="AN260" s="251"/>
      <c r="AO260" s="251"/>
      <c r="AP260" s="251"/>
      <c r="AR260" s="251"/>
    </row>
    <row r="261" spans="1:44" ht="18">
      <c r="A261" s="251"/>
      <c r="B261" s="251"/>
      <c r="C261" s="251"/>
      <c r="D261" s="251"/>
      <c r="E261" s="251"/>
      <c r="F261" s="251"/>
      <c r="G261" s="251"/>
      <c r="H261" s="251"/>
      <c r="I261" s="251"/>
      <c r="J261" s="251"/>
      <c r="K261" s="251"/>
      <c r="L261" s="251"/>
      <c r="M261" s="251"/>
      <c r="N261" s="251"/>
      <c r="O261" s="251"/>
      <c r="P261" s="251"/>
      <c r="Q261" s="251"/>
      <c r="R261" s="251"/>
      <c r="S261" s="251"/>
      <c r="T261" s="251"/>
      <c r="U261" s="251"/>
      <c r="V261" s="251"/>
      <c r="W261" s="251"/>
      <c r="X261" s="251"/>
      <c r="Y261" s="251"/>
      <c r="Z261" s="251"/>
      <c r="AA261" s="251"/>
      <c r="AB261" s="251"/>
      <c r="AC261" s="251"/>
      <c r="AD261" s="251"/>
      <c r="AE261" s="251"/>
      <c r="AF261" s="251"/>
      <c r="AG261" s="251"/>
      <c r="AH261" s="251"/>
      <c r="AI261" s="251"/>
      <c r="AJ261" s="251"/>
      <c r="AK261" s="251"/>
      <c r="AL261" s="251"/>
      <c r="AM261" s="251"/>
      <c r="AN261" s="251"/>
      <c r="AO261" s="251"/>
      <c r="AP261" s="251"/>
      <c r="AR261" s="251"/>
    </row>
    <row r="262" spans="1:44" ht="18">
      <c r="A262" s="251"/>
      <c r="B262" s="251"/>
      <c r="C262" s="251"/>
      <c r="D262" s="251"/>
      <c r="E262" s="251"/>
      <c r="F262" s="251"/>
      <c r="G262" s="251"/>
      <c r="H262" s="251"/>
      <c r="I262" s="251"/>
      <c r="J262" s="251"/>
      <c r="K262" s="251"/>
      <c r="L262" s="251"/>
      <c r="M262" s="251"/>
      <c r="N262" s="251"/>
      <c r="O262" s="251"/>
      <c r="P262" s="251"/>
      <c r="Q262" s="251"/>
      <c r="R262" s="251"/>
      <c r="S262" s="251"/>
      <c r="T262" s="251"/>
      <c r="U262" s="251"/>
      <c r="V262" s="251"/>
      <c r="W262" s="251"/>
      <c r="X262" s="251"/>
      <c r="Y262" s="251"/>
      <c r="Z262" s="251"/>
      <c r="AA262" s="251"/>
      <c r="AB262" s="251"/>
      <c r="AC262" s="251"/>
      <c r="AD262" s="251"/>
      <c r="AE262" s="251"/>
      <c r="AF262" s="251"/>
      <c r="AG262" s="251"/>
      <c r="AH262" s="251"/>
      <c r="AI262" s="251"/>
      <c r="AJ262" s="251"/>
      <c r="AK262" s="251"/>
      <c r="AL262" s="251"/>
      <c r="AM262" s="251"/>
      <c r="AN262" s="251"/>
      <c r="AO262" s="251"/>
      <c r="AP262" s="251"/>
      <c r="AR262" s="251"/>
    </row>
    <row r="263" spans="1:44" ht="18">
      <c r="A263" s="251"/>
      <c r="B263" s="251"/>
      <c r="C263" s="251"/>
      <c r="D263" s="251"/>
      <c r="E263" s="251"/>
      <c r="F263" s="251"/>
      <c r="G263" s="251"/>
      <c r="H263" s="251"/>
      <c r="I263" s="251"/>
      <c r="J263" s="251"/>
      <c r="K263" s="251"/>
      <c r="L263" s="251"/>
      <c r="M263" s="251"/>
      <c r="N263" s="251"/>
      <c r="O263" s="251"/>
      <c r="P263" s="251"/>
      <c r="Q263" s="251"/>
      <c r="R263" s="251"/>
      <c r="S263" s="251"/>
      <c r="T263" s="251"/>
      <c r="U263" s="251"/>
      <c r="V263" s="251"/>
      <c r="W263" s="251"/>
      <c r="X263" s="251"/>
      <c r="Y263" s="251"/>
      <c r="Z263" s="251"/>
      <c r="AA263" s="251"/>
      <c r="AB263" s="251"/>
      <c r="AC263" s="251"/>
      <c r="AD263" s="251"/>
      <c r="AE263" s="251"/>
      <c r="AF263" s="251"/>
      <c r="AG263" s="251"/>
      <c r="AH263" s="251"/>
      <c r="AI263" s="251"/>
      <c r="AJ263" s="251"/>
      <c r="AK263" s="251"/>
      <c r="AL263" s="251"/>
      <c r="AM263" s="251"/>
      <c r="AN263" s="251"/>
      <c r="AO263" s="251"/>
      <c r="AP263" s="251"/>
      <c r="AR263" s="251"/>
    </row>
    <row r="264" spans="1:44" ht="18">
      <c r="A264" s="251"/>
      <c r="B264" s="251"/>
      <c r="C264" s="251"/>
      <c r="D264" s="251"/>
      <c r="E264" s="251"/>
      <c r="F264" s="251"/>
      <c r="G264" s="251"/>
      <c r="H264" s="251"/>
      <c r="I264" s="251"/>
      <c r="J264" s="251"/>
      <c r="K264" s="251"/>
      <c r="L264" s="251"/>
      <c r="M264" s="251"/>
      <c r="N264" s="251"/>
      <c r="O264" s="251"/>
      <c r="P264" s="251"/>
      <c r="Q264" s="251"/>
      <c r="R264" s="251"/>
      <c r="S264" s="251"/>
      <c r="T264" s="251"/>
      <c r="U264" s="251"/>
      <c r="V264" s="251"/>
      <c r="W264" s="251"/>
      <c r="X264" s="251"/>
      <c r="Y264" s="251"/>
      <c r="Z264" s="251"/>
      <c r="AA264" s="251"/>
      <c r="AB264" s="251"/>
      <c r="AC264" s="251"/>
      <c r="AD264" s="251"/>
      <c r="AE264" s="251"/>
      <c r="AF264" s="251"/>
      <c r="AG264" s="251"/>
      <c r="AH264" s="251"/>
      <c r="AI264" s="251"/>
      <c r="AJ264" s="251"/>
      <c r="AK264" s="251"/>
      <c r="AL264" s="251"/>
      <c r="AM264" s="251"/>
      <c r="AN264" s="251"/>
      <c r="AO264" s="251"/>
      <c r="AP264" s="251"/>
      <c r="AR264" s="251"/>
    </row>
    <row r="265" spans="1:44" ht="18">
      <c r="A265" s="251"/>
      <c r="B265" s="251"/>
      <c r="C265" s="251"/>
      <c r="D265" s="251"/>
      <c r="E265" s="251"/>
      <c r="F265" s="251"/>
      <c r="G265" s="251"/>
      <c r="H265" s="251"/>
      <c r="I265" s="251"/>
      <c r="J265" s="251"/>
      <c r="K265" s="251"/>
      <c r="L265" s="251"/>
      <c r="M265" s="251"/>
      <c r="N265" s="251"/>
      <c r="O265" s="251"/>
      <c r="P265" s="251"/>
      <c r="Q265" s="251"/>
      <c r="R265" s="251"/>
      <c r="S265" s="251"/>
      <c r="T265" s="251"/>
      <c r="U265" s="251"/>
      <c r="V265" s="251"/>
      <c r="W265" s="251"/>
      <c r="X265" s="251"/>
      <c r="Y265" s="251"/>
      <c r="Z265" s="251"/>
      <c r="AA265" s="251"/>
      <c r="AB265" s="251"/>
      <c r="AC265" s="251"/>
      <c r="AD265" s="251"/>
      <c r="AE265" s="251"/>
      <c r="AF265" s="251"/>
      <c r="AG265" s="251"/>
      <c r="AH265" s="251"/>
      <c r="AI265" s="251"/>
      <c r="AJ265" s="251"/>
      <c r="AK265" s="251"/>
      <c r="AL265" s="251"/>
      <c r="AM265" s="251"/>
      <c r="AN265" s="251"/>
      <c r="AO265" s="251"/>
      <c r="AP265" s="251"/>
      <c r="AR265" s="251"/>
    </row>
    <row r="266" spans="1:44" ht="18">
      <c r="A266" s="251"/>
      <c r="B266" s="251"/>
      <c r="C266" s="251"/>
      <c r="D266" s="251"/>
      <c r="E266" s="251"/>
      <c r="F266" s="251"/>
      <c r="G266" s="251"/>
      <c r="H266" s="251"/>
      <c r="I266" s="251"/>
      <c r="J266" s="251"/>
      <c r="K266" s="251"/>
      <c r="L266" s="251"/>
      <c r="M266" s="251"/>
      <c r="N266" s="251"/>
      <c r="O266" s="251"/>
      <c r="P266" s="251"/>
      <c r="Q266" s="251"/>
      <c r="R266" s="251"/>
      <c r="S266" s="251"/>
      <c r="T266" s="251"/>
      <c r="U266" s="251"/>
      <c r="V266" s="251"/>
      <c r="W266" s="251"/>
      <c r="X266" s="251"/>
      <c r="Y266" s="251"/>
      <c r="Z266" s="251"/>
      <c r="AA266" s="251"/>
      <c r="AB266" s="251"/>
      <c r="AC266" s="251"/>
      <c r="AD266" s="251"/>
      <c r="AE266" s="251"/>
      <c r="AF266" s="251"/>
      <c r="AG266" s="251"/>
      <c r="AH266" s="251"/>
      <c r="AI266" s="251"/>
      <c r="AJ266" s="251"/>
      <c r="AK266" s="251"/>
      <c r="AL266" s="251"/>
      <c r="AM266" s="251"/>
      <c r="AN266" s="251"/>
      <c r="AO266" s="251"/>
      <c r="AP266" s="251"/>
      <c r="AR266" s="251"/>
    </row>
    <row r="267" spans="1:44" ht="18">
      <c r="A267" s="251"/>
      <c r="B267" s="251"/>
      <c r="C267" s="251"/>
      <c r="D267" s="251"/>
      <c r="E267" s="251"/>
      <c r="F267" s="251"/>
      <c r="G267" s="251"/>
      <c r="H267" s="251"/>
      <c r="I267" s="251"/>
      <c r="J267" s="251"/>
      <c r="K267" s="251"/>
      <c r="L267" s="251"/>
      <c r="M267" s="251"/>
      <c r="N267" s="251"/>
      <c r="O267" s="251"/>
      <c r="P267" s="251"/>
      <c r="Q267" s="251"/>
      <c r="R267" s="251"/>
      <c r="S267" s="251"/>
      <c r="T267" s="251"/>
      <c r="U267" s="251"/>
      <c r="V267" s="251"/>
      <c r="W267" s="251"/>
      <c r="X267" s="251"/>
      <c r="Y267" s="251"/>
      <c r="Z267" s="251"/>
      <c r="AA267" s="251"/>
      <c r="AB267" s="251"/>
      <c r="AC267" s="251"/>
      <c r="AD267" s="251"/>
      <c r="AE267" s="251"/>
      <c r="AF267" s="251"/>
      <c r="AG267" s="251"/>
      <c r="AH267" s="251"/>
      <c r="AI267" s="251"/>
      <c r="AJ267" s="251"/>
      <c r="AK267" s="251"/>
      <c r="AL267" s="251"/>
      <c r="AM267" s="251"/>
      <c r="AN267" s="251"/>
      <c r="AO267" s="251"/>
      <c r="AP267" s="251"/>
      <c r="AR267" s="251"/>
    </row>
    <row r="268" spans="1:44" ht="18">
      <c r="A268" s="251"/>
      <c r="B268" s="251"/>
      <c r="C268" s="251"/>
      <c r="D268" s="251"/>
      <c r="E268" s="251"/>
      <c r="F268" s="251"/>
      <c r="G268" s="251"/>
      <c r="H268" s="251"/>
      <c r="I268" s="251"/>
      <c r="J268" s="251"/>
      <c r="K268" s="251"/>
      <c r="L268" s="251"/>
      <c r="M268" s="251"/>
      <c r="N268" s="251"/>
      <c r="O268" s="251"/>
      <c r="P268" s="251"/>
      <c r="Q268" s="251"/>
      <c r="R268" s="251"/>
      <c r="S268" s="251"/>
      <c r="T268" s="251"/>
      <c r="U268" s="251"/>
      <c r="V268" s="251"/>
      <c r="W268" s="251"/>
      <c r="X268" s="251"/>
      <c r="Y268" s="251"/>
      <c r="Z268" s="251"/>
      <c r="AA268" s="251"/>
      <c r="AB268" s="251"/>
      <c r="AC268" s="251"/>
      <c r="AD268" s="251"/>
      <c r="AE268" s="251"/>
      <c r="AF268" s="251"/>
      <c r="AG268" s="251"/>
      <c r="AH268" s="251"/>
      <c r="AI268" s="251"/>
      <c r="AJ268" s="251"/>
      <c r="AK268" s="251"/>
      <c r="AL268" s="251"/>
      <c r="AM268" s="251"/>
      <c r="AN268" s="251"/>
      <c r="AO268" s="251"/>
      <c r="AP268" s="251"/>
      <c r="AR268" s="251"/>
    </row>
    <row r="269" spans="1:44" ht="18">
      <c r="A269" s="251"/>
      <c r="B269" s="251"/>
      <c r="C269" s="251"/>
      <c r="D269" s="251"/>
      <c r="E269" s="251"/>
      <c r="F269" s="251"/>
      <c r="G269" s="251"/>
      <c r="H269" s="251"/>
      <c r="I269" s="251"/>
      <c r="J269" s="251"/>
      <c r="K269" s="251"/>
      <c r="L269" s="251"/>
      <c r="M269" s="251"/>
      <c r="N269" s="251"/>
      <c r="O269" s="251"/>
      <c r="P269" s="251"/>
      <c r="Q269" s="251"/>
      <c r="R269" s="251"/>
      <c r="S269" s="251"/>
      <c r="T269" s="251"/>
      <c r="U269" s="251"/>
      <c r="V269" s="251"/>
      <c r="W269" s="251"/>
      <c r="X269" s="251"/>
      <c r="Y269" s="251"/>
      <c r="Z269" s="251"/>
      <c r="AA269" s="251"/>
      <c r="AB269" s="251"/>
      <c r="AC269" s="251"/>
      <c r="AD269" s="251"/>
      <c r="AE269" s="251"/>
      <c r="AF269" s="251"/>
      <c r="AG269" s="251"/>
      <c r="AH269" s="251"/>
      <c r="AI269" s="251"/>
      <c r="AJ269" s="251"/>
      <c r="AK269" s="251"/>
      <c r="AL269" s="251"/>
      <c r="AM269" s="251"/>
      <c r="AN269" s="251"/>
      <c r="AO269" s="251"/>
      <c r="AP269" s="251"/>
      <c r="AR269" s="251"/>
    </row>
    <row r="270" spans="1:44" ht="18">
      <c r="A270" s="251"/>
      <c r="B270" s="251"/>
      <c r="C270" s="251"/>
      <c r="D270" s="251"/>
      <c r="E270" s="251"/>
      <c r="F270" s="251"/>
      <c r="G270" s="251"/>
      <c r="H270" s="251"/>
      <c r="I270" s="251"/>
      <c r="J270" s="251"/>
      <c r="K270" s="251"/>
      <c r="L270" s="251"/>
      <c r="M270" s="251"/>
      <c r="N270" s="251"/>
      <c r="O270" s="251"/>
      <c r="P270" s="251"/>
      <c r="Q270" s="251"/>
      <c r="R270" s="251"/>
      <c r="S270" s="251"/>
      <c r="T270" s="251"/>
      <c r="U270" s="251"/>
      <c r="V270" s="251"/>
      <c r="W270" s="251"/>
      <c r="X270" s="251"/>
      <c r="Y270" s="251"/>
      <c r="Z270" s="251"/>
      <c r="AA270" s="251"/>
      <c r="AB270" s="251"/>
      <c r="AC270" s="251"/>
      <c r="AD270" s="251"/>
      <c r="AE270" s="251"/>
      <c r="AF270" s="251"/>
      <c r="AG270" s="251"/>
      <c r="AH270" s="251"/>
      <c r="AI270" s="251"/>
      <c r="AJ270" s="251"/>
      <c r="AK270" s="251"/>
      <c r="AL270" s="251"/>
      <c r="AM270" s="251"/>
      <c r="AN270" s="251"/>
      <c r="AO270" s="251"/>
      <c r="AP270" s="251"/>
      <c r="AR270" s="251"/>
    </row>
    <row r="271" spans="1:44" ht="18">
      <c r="A271" s="251"/>
      <c r="B271" s="251"/>
      <c r="C271" s="251"/>
      <c r="D271" s="251"/>
      <c r="E271" s="251"/>
      <c r="F271" s="251"/>
      <c r="G271" s="251"/>
      <c r="H271" s="251"/>
      <c r="I271" s="251"/>
      <c r="J271" s="251"/>
      <c r="K271" s="251"/>
      <c r="L271" s="251"/>
      <c r="M271" s="251"/>
      <c r="N271" s="251"/>
      <c r="O271" s="251"/>
      <c r="P271" s="251"/>
      <c r="Q271" s="251"/>
      <c r="R271" s="251"/>
      <c r="S271" s="251"/>
      <c r="T271" s="251"/>
      <c r="U271" s="251"/>
      <c r="V271" s="251"/>
      <c r="W271" s="251"/>
      <c r="X271" s="251"/>
      <c r="Y271" s="251"/>
      <c r="Z271" s="251"/>
      <c r="AA271" s="251"/>
      <c r="AB271" s="251"/>
      <c r="AC271" s="251"/>
      <c r="AD271" s="251"/>
      <c r="AE271" s="251"/>
      <c r="AF271" s="251"/>
      <c r="AG271" s="251"/>
      <c r="AH271" s="251"/>
      <c r="AI271" s="251"/>
      <c r="AJ271" s="251"/>
      <c r="AK271" s="251"/>
      <c r="AL271" s="251"/>
      <c r="AM271" s="251"/>
      <c r="AN271" s="251"/>
      <c r="AO271" s="251"/>
      <c r="AP271" s="251"/>
      <c r="AR271" s="251"/>
    </row>
    <row r="272" spans="1:44" ht="18">
      <c r="A272" s="251"/>
      <c r="B272" s="251"/>
      <c r="C272" s="251"/>
      <c r="D272" s="251"/>
      <c r="E272" s="251"/>
      <c r="F272" s="251"/>
      <c r="G272" s="251"/>
      <c r="H272" s="251"/>
      <c r="I272" s="251"/>
      <c r="J272" s="251"/>
      <c r="K272" s="251"/>
      <c r="L272" s="251"/>
      <c r="M272" s="251"/>
      <c r="N272" s="251"/>
      <c r="O272" s="251"/>
      <c r="P272" s="251"/>
      <c r="Q272" s="251"/>
      <c r="R272" s="251"/>
      <c r="S272" s="251"/>
      <c r="T272" s="251"/>
      <c r="U272" s="251"/>
      <c r="V272" s="251"/>
      <c r="W272" s="251"/>
      <c r="X272" s="251"/>
      <c r="Y272" s="251"/>
      <c r="Z272" s="251"/>
      <c r="AA272" s="251"/>
      <c r="AB272" s="251"/>
      <c r="AC272" s="251"/>
      <c r="AD272" s="251"/>
      <c r="AE272" s="251"/>
      <c r="AF272" s="251"/>
      <c r="AG272" s="251"/>
      <c r="AH272" s="251"/>
      <c r="AI272" s="251"/>
      <c r="AJ272" s="251"/>
      <c r="AK272" s="251"/>
      <c r="AL272" s="251"/>
      <c r="AM272" s="251"/>
      <c r="AN272" s="251"/>
      <c r="AO272" s="251"/>
      <c r="AP272" s="251"/>
      <c r="AR272" s="251"/>
    </row>
    <row r="273" spans="1:44" ht="18">
      <c r="A273" s="251"/>
      <c r="B273" s="251"/>
      <c r="C273" s="251"/>
      <c r="D273" s="251"/>
      <c r="E273" s="251"/>
      <c r="F273" s="251"/>
      <c r="G273" s="251"/>
      <c r="H273" s="251"/>
      <c r="I273" s="251"/>
      <c r="J273" s="251"/>
      <c r="K273" s="251"/>
      <c r="L273" s="251"/>
      <c r="M273" s="251"/>
      <c r="N273" s="251"/>
      <c r="O273" s="251"/>
      <c r="P273" s="251"/>
      <c r="Q273" s="251"/>
      <c r="R273" s="251"/>
      <c r="S273" s="251"/>
      <c r="T273" s="251"/>
      <c r="U273" s="251"/>
      <c r="V273" s="251"/>
      <c r="W273" s="251"/>
      <c r="X273" s="251"/>
      <c r="Y273" s="251"/>
      <c r="Z273" s="251"/>
      <c r="AA273" s="251"/>
      <c r="AB273" s="251"/>
      <c r="AC273" s="251"/>
      <c r="AD273" s="251"/>
      <c r="AE273" s="251"/>
      <c r="AF273" s="251"/>
      <c r="AG273" s="251"/>
      <c r="AH273" s="251"/>
      <c r="AI273" s="251"/>
      <c r="AJ273" s="251"/>
      <c r="AK273" s="251"/>
      <c r="AL273" s="251"/>
      <c r="AM273" s="251"/>
      <c r="AN273" s="251"/>
      <c r="AO273" s="251"/>
      <c r="AP273" s="251"/>
      <c r="AR273" s="251"/>
    </row>
    <row r="274" spans="1:44" ht="18">
      <c r="A274" s="251"/>
      <c r="B274" s="251"/>
      <c r="C274" s="251"/>
      <c r="D274" s="251"/>
      <c r="E274" s="251"/>
      <c r="F274" s="251"/>
      <c r="G274" s="251"/>
      <c r="H274" s="251"/>
      <c r="I274" s="251"/>
      <c r="J274" s="251"/>
      <c r="K274" s="251"/>
      <c r="L274" s="251"/>
      <c r="M274" s="251"/>
      <c r="N274" s="251"/>
      <c r="O274" s="251"/>
      <c r="P274" s="251"/>
      <c r="Q274" s="251"/>
      <c r="R274" s="251"/>
      <c r="S274" s="251"/>
      <c r="T274" s="251"/>
      <c r="U274" s="251"/>
      <c r="V274" s="251"/>
      <c r="W274" s="251"/>
      <c r="X274" s="251"/>
      <c r="Y274" s="251"/>
      <c r="Z274" s="251"/>
      <c r="AA274" s="251"/>
      <c r="AB274" s="251"/>
      <c r="AC274" s="251"/>
      <c r="AD274" s="251"/>
      <c r="AE274" s="251"/>
      <c r="AF274" s="251"/>
      <c r="AG274" s="251"/>
      <c r="AH274" s="251"/>
      <c r="AI274" s="251"/>
      <c r="AJ274" s="251"/>
      <c r="AK274" s="251"/>
      <c r="AL274" s="251"/>
      <c r="AM274" s="251"/>
      <c r="AN274" s="251"/>
      <c r="AO274" s="251"/>
      <c r="AP274" s="251"/>
      <c r="AR274" s="251"/>
    </row>
    <row r="275" spans="1:44" ht="18">
      <c r="A275" s="251"/>
      <c r="B275" s="251"/>
      <c r="C275" s="251"/>
      <c r="D275" s="251"/>
      <c r="E275" s="251"/>
      <c r="F275" s="251"/>
      <c r="G275" s="251"/>
      <c r="H275" s="251"/>
      <c r="I275" s="251"/>
      <c r="J275" s="251"/>
      <c r="K275" s="251"/>
      <c r="L275" s="251"/>
      <c r="M275" s="251"/>
      <c r="N275" s="251"/>
      <c r="O275" s="251"/>
      <c r="P275" s="251"/>
      <c r="Q275" s="251"/>
      <c r="R275" s="251"/>
      <c r="S275" s="251"/>
      <c r="T275" s="251"/>
      <c r="U275" s="251"/>
      <c r="V275" s="251"/>
      <c r="W275" s="251"/>
      <c r="X275" s="251"/>
      <c r="Y275" s="251"/>
      <c r="Z275" s="251"/>
      <c r="AA275" s="251"/>
      <c r="AB275" s="251"/>
      <c r="AC275" s="251"/>
      <c r="AD275" s="251"/>
      <c r="AE275" s="251"/>
      <c r="AF275" s="251"/>
      <c r="AG275" s="251"/>
      <c r="AH275" s="251"/>
      <c r="AI275" s="251"/>
      <c r="AJ275" s="251"/>
      <c r="AK275" s="251"/>
      <c r="AL275" s="251"/>
      <c r="AM275" s="251"/>
      <c r="AN275" s="251"/>
      <c r="AO275" s="251"/>
      <c r="AP275" s="251"/>
      <c r="AR275" s="251"/>
    </row>
    <row r="276" spans="1:44" ht="18">
      <c r="A276" s="251"/>
      <c r="B276" s="251"/>
      <c r="C276" s="251"/>
      <c r="D276" s="251"/>
      <c r="E276" s="251"/>
      <c r="F276" s="251"/>
      <c r="G276" s="251"/>
      <c r="H276" s="251"/>
      <c r="I276" s="251"/>
      <c r="J276" s="251"/>
      <c r="K276" s="251"/>
      <c r="L276" s="251"/>
      <c r="M276" s="251"/>
      <c r="N276" s="251"/>
      <c r="O276" s="251"/>
      <c r="P276" s="251"/>
      <c r="Q276" s="251"/>
      <c r="R276" s="251"/>
      <c r="S276" s="251"/>
      <c r="T276" s="251"/>
      <c r="U276" s="251"/>
      <c r="V276" s="251"/>
      <c r="W276" s="251"/>
      <c r="X276" s="251"/>
      <c r="Y276" s="251"/>
      <c r="Z276" s="251"/>
      <c r="AA276" s="251"/>
      <c r="AB276" s="251"/>
      <c r="AC276" s="251"/>
      <c r="AD276" s="251"/>
      <c r="AE276" s="251"/>
      <c r="AF276" s="251"/>
      <c r="AG276" s="251"/>
      <c r="AH276" s="251"/>
      <c r="AI276" s="251"/>
      <c r="AJ276" s="251"/>
      <c r="AK276" s="251"/>
      <c r="AL276" s="251"/>
      <c r="AM276" s="251"/>
      <c r="AN276" s="251"/>
      <c r="AO276" s="251"/>
      <c r="AP276" s="251"/>
      <c r="AR276" s="251"/>
    </row>
    <row r="277" spans="1:44" ht="18">
      <c r="A277" s="251"/>
      <c r="B277" s="251"/>
      <c r="C277" s="251"/>
      <c r="D277" s="251"/>
      <c r="E277" s="251"/>
      <c r="F277" s="251"/>
      <c r="G277" s="251"/>
      <c r="H277" s="251"/>
      <c r="I277" s="251"/>
      <c r="J277" s="251"/>
      <c r="K277" s="251"/>
      <c r="L277" s="251"/>
      <c r="M277" s="251"/>
      <c r="N277" s="251"/>
      <c r="O277" s="251"/>
      <c r="P277" s="251"/>
      <c r="Q277" s="251"/>
      <c r="R277" s="251"/>
      <c r="S277" s="251"/>
      <c r="T277" s="251"/>
      <c r="U277" s="251"/>
      <c r="V277" s="251"/>
      <c r="W277" s="251"/>
      <c r="X277" s="251"/>
      <c r="Y277" s="251"/>
      <c r="Z277" s="251"/>
      <c r="AA277" s="251"/>
      <c r="AB277" s="251"/>
      <c r="AC277" s="251"/>
      <c r="AD277" s="251"/>
      <c r="AE277" s="251"/>
      <c r="AF277" s="251"/>
      <c r="AG277" s="251"/>
      <c r="AH277" s="251"/>
      <c r="AI277" s="251"/>
      <c r="AJ277" s="251"/>
      <c r="AK277" s="251"/>
      <c r="AL277" s="251"/>
      <c r="AM277" s="251"/>
      <c r="AN277" s="251"/>
      <c r="AO277" s="251"/>
      <c r="AP277" s="251"/>
      <c r="AR277" s="251"/>
    </row>
    <row r="278" spans="1:44" ht="18">
      <c r="A278" s="251"/>
      <c r="B278" s="251"/>
      <c r="C278" s="251"/>
      <c r="D278" s="251"/>
      <c r="E278" s="251"/>
      <c r="F278" s="251"/>
      <c r="G278" s="251"/>
      <c r="H278" s="251"/>
      <c r="I278" s="251"/>
      <c r="J278" s="251"/>
      <c r="K278" s="251"/>
      <c r="L278" s="251"/>
      <c r="M278" s="251"/>
      <c r="N278" s="251"/>
      <c r="O278" s="251"/>
      <c r="P278" s="251"/>
      <c r="Q278" s="251"/>
      <c r="R278" s="251"/>
      <c r="S278" s="251"/>
      <c r="T278" s="251"/>
      <c r="U278" s="251"/>
      <c r="V278" s="251"/>
      <c r="W278" s="251"/>
      <c r="X278" s="251"/>
      <c r="Y278" s="251"/>
      <c r="Z278" s="251"/>
      <c r="AA278" s="251"/>
      <c r="AB278" s="251"/>
      <c r="AC278" s="251"/>
      <c r="AD278" s="251"/>
      <c r="AE278" s="251"/>
      <c r="AF278" s="251"/>
      <c r="AG278" s="251"/>
      <c r="AH278" s="251"/>
      <c r="AI278" s="251"/>
      <c r="AJ278" s="251"/>
      <c r="AK278" s="251"/>
      <c r="AL278" s="251"/>
      <c r="AM278" s="251"/>
      <c r="AN278" s="251"/>
      <c r="AO278" s="251"/>
      <c r="AP278" s="251"/>
      <c r="AR278" s="251"/>
    </row>
    <row r="279" spans="1:44" ht="18">
      <c r="A279" s="251"/>
      <c r="B279" s="251"/>
      <c r="C279" s="251"/>
      <c r="D279" s="251"/>
      <c r="E279" s="251"/>
      <c r="F279" s="251"/>
      <c r="G279" s="251"/>
      <c r="H279" s="251"/>
      <c r="I279" s="251"/>
      <c r="J279" s="251"/>
      <c r="K279" s="251"/>
      <c r="L279" s="251"/>
      <c r="M279" s="251"/>
      <c r="N279" s="251"/>
      <c r="O279" s="251"/>
      <c r="P279" s="251"/>
      <c r="Q279" s="251"/>
      <c r="R279" s="251"/>
      <c r="S279" s="251"/>
      <c r="T279" s="251"/>
      <c r="U279" s="251"/>
      <c r="V279" s="251"/>
      <c r="W279" s="251"/>
      <c r="X279" s="251"/>
      <c r="Y279" s="251"/>
      <c r="Z279" s="251"/>
      <c r="AA279" s="251"/>
      <c r="AB279" s="251"/>
      <c r="AC279" s="251"/>
      <c r="AD279" s="251"/>
      <c r="AE279" s="251"/>
      <c r="AF279" s="251"/>
      <c r="AG279" s="251"/>
      <c r="AH279" s="251"/>
      <c r="AI279" s="251"/>
      <c r="AJ279" s="251"/>
      <c r="AK279" s="251"/>
      <c r="AL279" s="251"/>
      <c r="AM279" s="251"/>
      <c r="AN279" s="251"/>
      <c r="AO279" s="251"/>
      <c r="AP279" s="251"/>
      <c r="AR279" s="251"/>
    </row>
    <row r="280" spans="1:44" ht="18">
      <c r="A280" s="251"/>
      <c r="B280" s="251"/>
      <c r="C280" s="251"/>
      <c r="D280" s="251"/>
      <c r="E280" s="251"/>
      <c r="F280" s="251"/>
      <c r="G280" s="251"/>
      <c r="H280" s="251"/>
      <c r="I280" s="251"/>
      <c r="J280" s="251"/>
      <c r="K280" s="251"/>
      <c r="L280" s="251"/>
      <c r="M280" s="251"/>
      <c r="N280" s="251"/>
      <c r="O280" s="251"/>
      <c r="P280" s="251"/>
      <c r="Q280" s="251"/>
      <c r="R280" s="251"/>
      <c r="S280" s="251"/>
      <c r="T280" s="251"/>
      <c r="U280" s="251"/>
      <c r="V280" s="251"/>
      <c r="W280" s="251"/>
      <c r="X280" s="251"/>
      <c r="Y280" s="251"/>
      <c r="Z280" s="251"/>
      <c r="AA280" s="251"/>
      <c r="AB280" s="251"/>
      <c r="AC280" s="251"/>
      <c r="AD280" s="251"/>
      <c r="AE280" s="251"/>
      <c r="AF280" s="251"/>
      <c r="AG280" s="251"/>
      <c r="AH280" s="251"/>
      <c r="AI280" s="251"/>
      <c r="AJ280" s="251"/>
      <c r="AK280" s="251"/>
      <c r="AL280" s="251"/>
      <c r="AM280" s="251"/>
      <c r="AN280" s="251"/>
      <c r="AO280" s="251"/>
      <c r="AP280" s="251"/>
      <c r="AR280" s="251"/>
    </row>
    <row r="281" spans="1:44" ht="18">
      <c r="A281" s="251"/>
      <c r="B281" s="251"/>
      <c r="C281" s="251"/>
      <c r="D281" s="251"/>
      <c r="E281" s="251"/>
      <c r="F281" s="251"/>
      <c r="G281" s="251"/>
      <c r="H281" s="251"/>
      <c r="I281" s="251"/>
      <c r="J281" s="251"/>
      <c r="K281" s="251"/>
      <c r="L281" s="251"/>
      <c r="M281" s="251"/>
      <c r="N281" s="251"/>
      <c r="O281" s="251"/>
      <c r="P281" s="251"/>
      <c r="Q281" s="251"/>
      <c r="R281" s="251"/>
      <c r="S281" s="251"/>
      <c r="T281" s="251"/>
      <c r="U281" s="251"/>
      <c r="V281" s="251"/>
      <c r="W281" s="251"/>
      <c r="X281" s="251"/>
      <c r="Y281" s="251"/>
      <c r="Z281" s="251"/>
      <c r="AA281" s="251"/>
      <c r="AB281" s="251"/>
      <c r="AC281" s="251"/>
      <c r="AD281" s="251"/>
      <c r="AE281" s="251"/>
      <c r="AF281" s="251"/>
      <c r="AG281" s="251"/>
      <c r="AH281" s="251"/>
      <c r="AI281" s="251"/>
      <c r="AJ281" s="251"/>
      <c r="AK281" s="251"/>
      <c r="AL281" s="251"/>
      <c r="AM281" s="251"/>
      <c r="AN281" s="251"/>
      <c r="AO281" s="251"/>
      <c r="AP281" s="251"/>
      <c r="AR281" s="251"/>
    </row>
    <row r="282" spans="1:44" ht="18">
      <c r="A282" s="251"/>
      <c r="B282" s="251"/>
      <c r="C282" s="251"/>
      <c r="D282" s="251"/>
      <c r="E282" s="251"/>
      <c r="F282" s="251"/>
      <c r="G282" s="251"/>
      <c r="H282" s="251"/>
      <c r="I282" s="251"/>
      <c r="J282" s="251"/>
      <c r="K282" s="251"/>
      <c r="L282" s="251"/>
      <c r="M282" s="251"/>
      <c r="N282" s="251"/>
      <c r="O282" s="251"/>
      <c r="P282" s="251"/>
      <c r="Q282" s="251"/>
      <c r="R282" s="251"/>
      <c r="S282" s="251"/>
      <c r="T282" s="251"/>
      <c r="U282" s="251"/>
      <c r="V282" s="251"/>
      <c r="W282" s="251"/>
      <c r="X282" s="251"/>
      <c r="Y282" s="251"/>
      <c r="Z282" s="251"/>
      <c r="AA282" s="251"/>
      <c r="AB282" s="251"/>
      <c r="AC282" s="251"/>
      <c r="AD282" s="251"/>
      <c r="AE282" s="251"/>
      <c r="AF282" s="251"/>
      <c r="AG282" s="251"/>
      <c r="AH282" s="251"/>
      <c r="AI282" s="251"/>
      <c r="AJ282" s="251"/>
      <c r="AK282" s="251"/>
      <c r="AL282" s="251"/>
      <c r="AM282" s="251"/>
      <c r="AN282" s="251"/>
      <c r="AO282" s="251"/>
      <c r="AP282" s="251"/>
      <c r="AR282" s="251"/>
    </row>
    <row r="283" spans="1:44" ht="18">
      <c r="A283" s="251"/>
      <c r="B283" s="251"/>
      <c r="C283" s="251"/>
      <c r="D283" s="251"/>
      <c r="E283" s="251"/>
      <c r="F283" s="251"/>
      <c r="G283" s="251"/>
      <c r="H283" s="251"/>
      <c r="I283" s="251"/>
      <c r="J283" s="251"/>
      <c r="K283" s="251"/>
      <c r="L283" s="251"/>
      <c r="M283" s="251"/>
      <c r="N283" s="251"/>
      <c r="O283" s="251"/>
      <c r="P283" s="251"/>
      <c r="Q283" s="251"/>
      <c r="R283" s="251"/>
      <c r="S283" s="251"/>
      <c r="T283" s="251"/>
      <c r="U283" s="251"/>
      <c r="V283" s="251"/>
      <c r="W283" s="251"/>
      <c r="X283" s="251"/>
      <c r="Y283" s="251"/>
      <c r="Z283" s="251"/>
      <c r="AA283" s="251"/>
      <c r="AB283" s="251"/>
      <c r="AC283" s="251"/>
      <c r="AD283" s="251"/>
      <c r="AE283" s="251"/>
      <c r="AF283" s="251"/>
      <c r="AG283" s="251"/>
      <c r="AH283" s="251"/>
      <c r="AI283" s="251"/>
      <c r="AJ283" s="251"/>
      <c r="AK283" s="251"/>
      <c r="AL283" s="251"/>
      <c r="AM283" s="251"/>
      <c r="AN283" s="251"/>
      <c r="AO283" s="251"/>
      <c r="AP283" s="251"/>
      <c r="AR283" s="251"/>
    </row>
    <row r="284" spans="1:44" ht="18">
      <c r="A284" s="251"/>
      <c r="B284" s="251"/>
      <c r="C284" s="251"/>
      <c r="D284" s="251"/>
      <c r="E284" s="251"/>
      <c r="F284" s="251"/>
      <c r="G284" s="251"/>
      <c r="H284" s="251"/>
      <c r="I284" s="251"/>
      <c r="J284" s="251"/>
      <c r="K284" s="251"/>
      <c r="L284" s="251"/>
      <c r="M284" s="251"/>
      <c r="N284" s="251"/>
      <c r="O284" s="251"/>
      <c r="P284" s="251"/>
      <c r="Q284" s="251"/>
      <c r="R284" s="251"/>
      <c r="S284" s="251"/>
      <c r="T284" s="251"/>
      <c r="U284" s="251"/>
      <c r="V284" s="251"/>
      <c r="W284" s="251"/>
      <c r="X284" s="251"/>
      <c r="Y284" s="251"/>
      <c r="Z284" s="251"/>
      <c r="AA284" s="251"/>
      <c r="AB284" s="251"/>
      <c r="AC284" s="251"/>
      <c r="AD284" s="251"/>
      <c r="AE284" s="251"/>
      <c r="AF284" s="251"/>
      <c r="AG284" s="251"/>
      <c r="AH284" s="251"/>
      <c r="AI284" s="251"/>
      <c r="AJ284" s="251"/>
      <c r="AK284" s="251"/>
      <c r="AL284" s="251"/>
      <c r="AM284" s="251"/>
      <c r="AN284" s="251"/>
      <c r="AO284" s="251"/>
      <c r="AP284" s="251"/>
      <c r="AR284" s="251"/>
    </row>
    <row r="285" spans="1:44" ht="18">
      <c r="A285" s="251"/>
      <c r="B285" s="251"/>
      <c r="C285" s="251"/>
      <c r="D285" s="251"/>
      <c r="E285" s="251"/>
      <c r="F285" s="251"/>
      <c r="G285" s="251"/>
      <c r="H285" s="251"/>
      <c r="I285" s="251"/>
      <c r="J285" s="251"/>
      <c r="K285" s="251"/>
      <c r="L285" s="251"/>
      <c r="M285" s="251"/>
      <c r="N285" s="251"/>
      <c r="O285" s="251"/>
      <c r="P285" s="251"/>
      <c r="Q285" s="251"/>
      <c r="R285" s="251"/>
      <c r="S285" s="251"/>
      <c r="T285" s="251"/>
      <c r="U285" s="251"/>
      <c r="V285" s="251"/>
      <c r="W285" s="251"/>
      <c r="X285" s="251"/>
      <c r="Y285" s="251"/>
      <c r="Z285" s="251"/>
      <c r="AA285" s="251"/>
      <c r="AB285" s="251"/>
      <c r="AC285" s="251"/>
      <c r="AD285" s="251"/>
      <c r="AE285" s="251"/>
      <c r="AF285" s="251"/>
      <c r="AG285" s="251"/>
      <c r="AH285" s="251"/>
      <c r="AI285" s="251"/>
      <c r="AJ285" s="251"/>
      <c r="AK285" s="251"/>
      <c r="AL285" s="251"/>
      <c r="AM285" s="251"/>
      <c r="AN285" s="251"/>
      <c r="AO285" s="251"/>
      <c r="AP285" s="251"/>
      <c r="AR285" s="251"/>
    </row>
    <row r="286" spans="1:44" ht="18">
      <c r="A286" s="251"/>
      <c r="B286" s="251"/>
      <c r="C286" s="251"/>
      <c r="D286" s="251"/>
      <c r="E286" s="251"/>
      <c r="F286" s="251"/>
      <c r="G286" s="251"/>
      <c r="H286" s="251"/>
      <c r="I286" s="251"/>
      <c r="J286" s="251"/>
      <c r="K286" s="251"/>
      <c r="L286" s="251"/>
      <c r="M286" s="251"/>
      <c r="N286" s="251"/>
      <c r="O286" s="251"/>
      <c r="P286" s="251"/>
      <c r="Q286" s="251"/>
      <c r="R286" s="251"/>
      <c r="S286" s="251"/>
      <c r="T286" s="251"/>
      <c r="U286" s="251"/>
      <c r="V286" s="251"/>
      <c r="W286" s="251"/>
      <c r="X286" s="251"/>
      <c r="Y286" s="251"/>
      <c r="Z286" s="251"/>
      <c r="AA286" s="251"/>
      <c r="AB286" s="251"/>
      <c r="AC286" s="251"/>
      <c r="AD286" s="251"/>
      <c r="AE286" s="251"/>
      <c r="AF286" s="251"/>
      <c r="AG286" s="251"/>
      <c r="AH286" s="251"/>
      <c r="AI286" s="251"/>
      <c r="AJ286" s="251"/>
      <c r="AK286" s="251"/>
      <c r="AL286" s="251"/>
      <c r="AM286" s="251"/>
      <c r="AN286" s="251"/>
      <c r="AO286" s="251"/>
      <c r="AP286" s="251"/>
      <c r="AR286" s="251"/>
    </row>
    <row r="287" spans="1:44" ht="18">
      <c r="A287" s="251"/>
      <c r="B287" s="251"/>
      <c r="C287" s="251"/>
      <c r="D287" s="251"/>
      <c r="E287" s="251"/>
      <c r="F287" s="251"/>
      <c r="G287" s="251"/>
      <c r="H287" s="251"/>
      <c r="I287" s="251"/>
      <c r="J287" s="251"/>
      <c r="K287" s="251"/>
      <c r="L287" s="251"/>
      <c r="M287" s="251"/>
      <c r="N287" s="251"/>
      <c r="O287" s="251"/>
      <c r="P287" s="251"/>
      <c r="Q287" s="251"/>
      <c r="R287" s="251"/>
      <c r="S287" s="251"/>
      <c r="T287" s="251"/>
      <c r="U287" s="251"/>
      <c r="V287" s="251"/>
      <c r="W287" s="251"/>
      <c r="X287" s="251"/>
      <c r="Y287" s="251"/>
      <c r="Z287" s="251"/>
      <c r="AA287" s="251"/>
      <c r="AB287" s="251"/>
      <c r="AC287" s="251"/>
      <c r="AD287" s="251"/>
      <c r="AE287" s="251"/>
      <c r="AF287" s="251"/>
      <c r="AG287" s="251"/>
      <c r="AH287" s="251"/>
      <c r="AI287" s="251"/>
      <c r="AJ287" s="251"/>
      <c r="AK287" s="251"/>
      <c r="AL287" s="251"/>
      <c r="AM287" s="251"/>
      <c r="AN287" s="251"/>
      <c r="AO287" s="251"/>
      <c r="AP287" s="251"/>
      <c r="AR287" s="251"/>
    </row>
    <row r="288" spans="1:44" ht="18">
      <c r="A288" s="251"/>
      <c r="B288" s="251"/>
      <c r="C288" s="251"/>
      <c r="D288" s="251"/>
      <c r="E288" s="251"/>
      <c r="F288" s="251"/>
      <c r="G288" s="251"/>
      <c r="H288" s="251"/>
      <c r="I288" s="251"/>
      <c r="J288" s="251"/>
      <c r="K288" s="251"/>
      <c r="L288" s="251"/>
      <c r="M288" s="251"/>
      <c r="N288" s="251"/>
      <c r="O288" s="251"/>
      <c r="P288" s="251"/>
      <c r="Q288" s="251"/>
      <c r="R288" s="251"/>
      <c r="S288" s="251"/>
      <c r="T288" s="251"/>
      <c r="U288" s="251"/>
      <c r="V288" s="251"/>
      <c r="W288" s="251"/>
      <c r="X288" s="251"/>
      <c r="Y288" s="251"/>
      <c r="Z288" s="251"/>
      <c r="AA288" s="251"/>
      <c r="AB288" s="251"/>
      <c r="AC288" s="251"/>
      <c r="AD288" s="251"/>
      <c r="AE288" s="251"/>
      <c r="AF288" s="251"/>
      <c r="AG288" s="251"/>
      <c r="AH288" s="251"/>
      <c r="AI288" s="251"/>
      <c r="AJ288" s="251"/>
      <c r="AK288" s="251"/>
      <c r="AL288" s="251"/>
      <c r="AM288" s="251"/>
      <c r="AN288" s="251"/>
      <c r="AO288" s="251"/>
      <c r="AP288" s="251"/>
      <c r="AR288" s="251"/>
    </row>
    <row r="289" spans="1:44" ht="18">
      <c r="A289" s="251"/>
      <c r="B289" s="251"/>
      <c r="C289" s="251"/>
      <c r="D289" s="251"/>
      <c r="E289" s="251"/>
      <c r="F289" s="251"/>
      <c r="G289" s="251"/>
      <c r="H289" s="251"/>
      <c r="I289" s="251"/>
      <c r="J289" s="251"/>
      <c r="K289" s="251"/>
      <c r="L289" s="251"/>
      <c r="M289" s="251"/>
      <c r="N289" s="251"/>
      <c r="O289" s="251"/>
      <c r="P289" s="251"/>
      <c r="Q289" s="251"/>
      <c r="R289" s="251"/>
      <c r="S289" s="251"/>
      <c r="T289" s="251"/>
      <c r="U289" s="251"/>
      <c r="V289" s="251"/>
      <c r="W289" s="251"/>
      <c r="X289" s="251"/>
      <c r="Y289" s="251"/>
      <c r="Z289" s="251"/>
      <c r="AA289" s="251"/>
      <c r="AB289" s="251"/>
      <c r="AC289" s="251"/>
      <c r="AD289" s="251"/>
      <c r="AE289" s="251"/>
      <c r="AF289" s="251"/>
      <c r="AG289" s="251"/>
      <c r="AH289" s="251"/>
      <c r="AI289" s="251"/>
      <c r="AJ289" s="251"/>
      <c r="AK289" s="251"/>
      <c r="AL289" s="251"/>
      <c r="AM289" s="251"/>
      <c r="AN289" s="251"/>
      <c r="AO289" s="251"/>
      <c r="AP289" s="251"/>
      <c r="AR289" s="251"/>
    </row>
    <row r="290" spans="1:44" ht="18">
      <c r="A290" s="251"/>
      <c r="B290" s="251"/>
      <c r="C290" s="251"/>
      <c r="D290" s="251"/>
      <c r="E290" s="251"/>
      <c r="F290" s="251"/>
      <c r="G290" s="251"/>
      <c r="H290" s="251"/>
      <c r="I290" s="251"/>
      <c r="J290" s="251"/>
      <c r="K290" s="251"/>
      <c r="L290" s="251"/>
      <c r="M290" s="251"/>
      <c r="N290" s="251"/>
      <c r="O290" s="251"/>
      <c r="P290" s="251"/>
      <c r="Q290" s="251"/>
      <c r="R290" s="251"/>
      <c r="S290" s="251"/>
      <c r="T290" s="251"/>
      <c r="U290" s="251"/>
      <c r="V290" s="251"/>
      <c r="W290" s="251"/>
      <c r="X290" s="251"/>
      <c r="Y290" s="251"/>
      <c r="Z290" s="251"/>
      <c r="AA290" s="251"/>
      <c r="AB290" s="251"/>
      <c r="AC290" s="251"/>
      <c r="AD290" s="251"/>
      <c r="AE290" s="251"/>
      <c r="AF290" s="251"/>
      <c r="AG290" s="251"/>
      <c r="AH290" s="251"/>
      <c r="AI290" s="251"/>
      <c r="AJ290" s="251"/>
      <c r="AK290" s="251"/>
      <c r="AL290" s="251"/>
      <c r="AM290" s="251"/>
      <c r="AN290" s="251"/>
      <c r="AO290" s="251"/>
      <c r="AP290" s="251"/>
      <c r="AR290" s="251"/>
    </row>
    <row r="291" spans="1:44" ht="18">
      <c r="A291" s="251"/>
      <c r="B291" s="251"/>
      <c r="C291" s="251"/>
      <c r="D291" s="251"/>
      <c r="E291" s="251"/>
      <c r="F291" s="251"/>
      <c r="G291" s="251"/>
      <c r="H291" s="251"/>
      <c r="I291" s="251"/>
      <c r="J291" s="251"/>
      <c r="K291" s="251"/>
      <c r="L291" s="251"/>
      <c r="M291" s="251"/>
      <c r="N291" s="251"/>
      <c r="O291" s="251"/>
      <c r="P291" s="251"/>
      <c r="Q291" s="251"/>
      <c r="R291" s="251"/>
      <c r="S291" s="251"/>
      <c r="T291" s="251"/>
      <c r="U291" s="251"/>
      <c r="V291" s="251"/>
      <c r="W291" s="251"/>
      <c r="X291" s="251"/>
      <c r="Y291" s="251"/>
      <c r="Z291" s="251"/>
      <c r="AA291" s="251"/>
      <c r="AB291" s="251"/>
      <c r="AC291" s="251"/>
      <c r="AD291" s="251"/>
      <c r="AE291" s="251"/>
      <c r="AF291" s="251"/>
      <c r="AG291" s="251"/>
      <c r="AH291" s="251"/>
      <c r="AI291" s="251"/>
      <c r="AJ291" s="251"/>
      <c r="AK291" s="251"/>
      <c r="AL291" s="251"/>
      <c r="AM291" s="251"/>
      <c r="AN291" s="251"/>
      <c r="AO291" s="251"/>
      <c r="AP291" s="251"/>
      <c r="AR291" s="251"/>
    </row>
    <row r="292" spans="1:44" ht="18">
      <c r="A292" s="251"/>
      <c r="B292" s="251"/>
      <c r="C292" s="251"/>
      <c r="D292" s="251"/>
      <c r="E292" s="251"/>
      <c r="F292" s="251"/>
      <c r="G292" s="251"/>
      <c r="H292" s="251"/>
      <c r="I292" s="251"/>
      <c r="J292" s="251"/>
      <c r="K292" s="251"/>
      <c r="L292" s="251"/>
      <c r="M292" s="251"/>
      <c r="N292" s="251"/>
      <c r="O292" s="251"/>
      <c r="P292" s="251"/>
      <c r="Q292" s="251"/>
      <c r="R292" s="251"/>
      <c r="S292" s="251"/>
      <c r="T292" s="251"/>
      <c r="U292" s="251"/>
      <c r="V292" s="251"/>
      <c r="W292" s="251"/>
      <c r="X292" s="251"/>
      <c r="Y292" s="251"/>
      <c r="Z292" s="251"/>
      <c r="AA292" s="251"/>
      <c r="AB292" s="251"/>
      <c r="AC292" s="251"/>
      <c r="AD292" s="251"/>
      <c r="AE292" s="251"/>
      <c r="AF292" s="251"/>
      <c r="AG292" s="251"/>
      <c r="AH292" s="251"/>
      <c r="AI292" s="251"/>
      <c r="AJ292" s="251"/>
      <c r="AK292" s="251"/>
      <c r="AL292" s="251"/>
      <c r="AM292" s="251"/>
      <c r="AN292" s="251"/>
      <c r="AO292" s="251"/>
      <c r="AP292" s="251"/>
      <c r="AR292" s="251"/>
    </row>
    <row r="293" spans="1:44" ht="18">
      <c r="A293" s="251"/>
      <c r="B293" s="251"/>
      <c r="C293" s="251"/>
      <c r="D293" s="251"/>
      <c r="E293" s="251"/>
      <c r="F293" s="251"/>
      <c r="G293" s="251"/>
      <c r="H293" s="251"/>
      <c r="I293" s="251"/>
      <c r="J293" s="251"/>
      <c r="K293" s="251"/>
      <c r="L293" s="251"/>
      <c r="M293" s="251"/>
      <c r="N293" s="251"/>
      <c r="O293" s="251"/>
      <c r="P293" s="251"/>
      <c r="Q293" s="251"/>
      <c r="R293" s="251"/>
      <c r="S293" s="251"/>
      <c r="T293" s="251"/>
      <c r="U293" s="251"/>
      <c r="V293" s="251"/>
      <c r="W293" s="251"/>
      <c r="X293" s="251"/>
      <c r="Y293" s="251"/>
      <c r="Z293" s="251"/>
      <c r="AA293" s="251"/>
      <c r="AB293" s="251"/>
      <c r="AC293" s="251"/>
      <c r="AD293" s="251"/>
      <c r="AE293" s="251"/>
      <c r="AF293" s="251"/>
      <c r="AG293" s="251"/>
      <c r="AH293" s="251"/>
      <c r="AI293" s="251"/>
      <c r="AJ293" s="251"/>
      <c r="AK293" s="251"/>
      <c r="AL293" s="251"/>
      <c r="AM293" s="251"/>
      <c r="AN293" s="251"/>
      <c r="AO293" s="251"/>
      <c r="AP293" s="251"/>
      <c r="AR293" s="251"/>
    </row>
    <row r="294" spans="1:44" ht="18">
      <c r="A294" s="251"/>
      <c r="B294" s="251"/>
      <c r="C294" s="251"/>
      <c r="D294" s="251"/>
      <c r="E294" s="251"/>
      <c r="F294" s="251"/>
      <c r="G294" s="251"/>
      <c r="H294" s="251"/>
      <c r="I294" s="251"/>
      <c r="J294" s="251"/>
      <c r="K294" s="251"/>
      <c r="L294" s="251"/>
      <c r="M294" s="251"/>
      <c r="N294" s="251"/>
      <c r="O294" s="251"/>
      <c r="P294" s="251"/>
      <c r="Q294" s="251"/>
      <c r="R294" s="251"/>
      <c r="S294" s="251"/>
      <c r="T294" s="251"/>
      <c r="U294" s="251"/>
      <c r="V294" s="251"/>
      <c r="W294" s="251"/>
      <c r="X294" s="251"/>
      <c r="Y294" s="251"/>
      <c r="Z294" s="251"/>
      <c r="AA294" s="251"/>
      <c r="AB294" s="251"/>
      <c r="AC294" s="251"/>
      <c r="AD294" s="251"/>
      <c r="AE294" s="251"/>
      <c r="AF294" s="251"/>
      <c r="AG294" s="251"/>
      <c r="AH294" s="251"/>
      <c r="AI294" s="251"/>
      <c r="AJ294" s="251"/>
      <c r="AK294" s="251"/>
      <c r="AL294" s="251"/>
      <c r="AM294" s="251"/>
      <c r="AN294" s="251"/>
      <c r="AO294" s="251"/>
      <c r="AP294" s="251"/>
      <c r="AR294" s="251"/>
    </row>
    <row r="295" spans="1:44" ht="18">
      <c r="A295" s="251"/>
      <c r="B295" s="251"/>
      <c r="C295" s="251"/>
      <c r="D295" s="251"/>
      <c r="E295" s="251"/>
      <c r="F295" s="251"/>
      <c r="G295" s="251"/>
      <c r="H295" s="251"/>
      <c r="I295" s="251"/>
      <c r="J295" s="251"/>
      <c r="K295" s="251"/>
      <c r="L295" s="251"/>
      <c r="M295" s="251"/>
      <c r="N295" s="251"/>
      <c r="O295" s="251"/>
      <c r="P295" s="251"/>
      <c r="Q295" s="251"/>
      <c r="R295" s="251"/>
      <c r="S295" s="251"/>
      <c r="T295" s="251"/>
      <c r="U295" s="251"/>
      <c r="V295" s="251"/>
      <c r="W295" s="251"/>
      <c r="X295" s="251"/>
      <c r="Y295" s="251"/>
      <c r="Z295" s="251"/>
      <c r="AA295" s="251"/>
      <c r="AB295" s="251"/>
      <c r="AC295" s="251"/>
      <c r="AD295" s="251"/>
      <c r="AE295" s="251"/>
      <c r="AF295" s="251"/>
      <c r="AG295" s="251"/>
      <c r="AH295" s="251"/>
      <c r="AI295" s="251"/>
      <c r="AJ295" s="251"/>
      <c r="AK295" s="251"/>
      <c r="AL295" s="251"/>
      <c r="AM295" s="251"/>
      <c r="AN295" s="251"/>
      <c r="AO295" s="251"/>
      <c r="AP295" s="251"/>
      <c r="AR295" s="251"/>
    </row>
    <row r="296" spans="1:44" ht="18">
      <c r="A296" s="251"/>
      <c r="B296" s="251"/>
      <c r="C296" s="251"/>
      <c r="D296" s="251"/>
      <c r="E296" s="251"/>
      <c r="F296" s="251"/>
      <c r="G296" s="251"/>
      <c r="H296" s="251"/>
      <c r="I296" s="251"/>
      <c r="J296" s="251"/>
      <c r="K296" s="251"/>
      <c r="L296" s="251"/>
      <c r="M296" s="251"/>
      <c r="N296" s="251"/>
      <c r="O296" s="251"/>
      <c r="P296" s="251"/>
      <c r="Q296" s="251"/>
      <c r="R296" s="251"/>
      <c r="S296" s="251"/>
      <c r="T296" s="251"/>
      <c r="U296" s="251"/>
      <c r="V296" s="251"/>
      <c r="W296" s="251"/>
      <c r="X296" s="251"/>
      <c r="Y296" s="251"/>
      <c r="Z296" s="251"/>
      <c r="AA296" s="251"/>
      <c r="AB296" s="251"/>
      <c r="AC296" s="251"/>
      <c r="AD296" s="251"/>
      <c r="AE296" s="251"/>
      <c r="AF296" s="251"/>
      <c r="AG296" s="251"/>
      <c r="AH296" s="251"/>
      <c r="AI296" s="251"/>
      <c r="AJ296" s="251"/>
      <c r="AK296" s="251"/>
      <c r="AL296" s="251"/>
      <c r="AM296" s="251"/>
      <c r="AN296" s="251"/>
      <c r="AO296" s="251"/>
      <c r="AP296" s="251"/>
      <c r="AR296" s="251"/>
    </row>
    <row r="297" spans="1:44" ht="18">
      <c r="A297" s="251"/>
      <c r="B297" s="251"/>
      <c r="C297" s="251"/>
      <c r="D297" s="251"/>
      <c r="E297" s="251"/>
      <c r="F297" s="251"/>
      <c r="G297" s="251"/>
      <c r="H297" s="251"/>
      <c r="I297" s="251"/>
      <c r="J297" s="251"/>
      <c r="K297" s="251"/>
      <c r="L297" s="251"/>
      <c r="M297" s="251"/>
      <c r="N297" s="251"/>
      <c r="O297" s="251"/>
      <c r="P297" s="251"/>
      <c r="Q297" s="251"/>
      <c r="R297" s="251"/>
      <c r="S297" s="251"/>
      <c r="T297" s="251"/>
      <c r="U297" s="251"/>
      <c r="V297" s="251"/>
      <c r="W297" s="251"/>
      <c r="X297" s="251"/>
      <c r="Y297" s="251"/>
      <c r="Z297" s="251"/>
      <c r="AA297" s="251"/>
      <c r="AB297" s="251"/>
      <c r="AC297" s="251"/>
      <c r="AD297" s="251"/>
      <c r="AE297" s="251"/>
      <c r="AF297" s="251"/>
      <c r="AG297" s="251"/>
      <c r="AH297" s="251"/>
      <c r="AI297" s="251"/>
      <c r="AJ297" s="251"/>
      <c r="AK297" s="251"/>
      <c r="AL297" s="251"/>
      <c r="AM297" s="251"/>
      <c r="AN297" s="251"/>
      <c r="AO297" s="251"/>
      <c r="AP297" s="251"/>
      <c r="AR297" s="251"/>
    </row>
    <row r="298" spans="1:44" ht="18">
      <c r="A298" s="251"/>
      <c r="B298" s="251"/>
      <c r="C298" s="251"/>
      <c r="D298" s="251"/>
      <c r="E298" s="251"/>
      <c r="F298" s="251"/>
      <c r="G298" s="251"/>
      <c r="H298" s="251"/>
      <c r="I298" s="251"/>
      <c r="J298" s="251"/>
      <c r="K298" s="251"/>
      <c r="L298" s="251"/>
      <c r="M298" s="251"/>
      <c r="N298" s="251"/>
      <c r="O298" s="251"/>
      <c r="P298" s="251"/>
      <c r="Q298" s="251"/>
      <c r="R298" s="251"/>
      <c r="S298" s="251"/>
      <c r="T298" s="251"/>
      <c r="U298" s="251"/>
      <c r="V298" s="251"/>
      <c r="W298" s="251"/>
      <c r="X298" s="251"/>
      <c r="Y298" s="251"/>
      <c r="Z298" s="251"/>
      <c r="AA298" s="251"/>
      <c r="AB298" s="251"/>
      <c r="AC298" s="251"/>
      <c r="AD298" s="251"/>
      <c r="AE298" s="251"/>
      <c r="AF298" s="251"/>
      <c r="AG298" s="251"/>
      <c r="AH298" s="251"/>
      <c r="AI298" s="251"/>
      <c r="AJ298" s="251"/>
      <c r="AK298" s="251"/>
      <c r="AL298" s="251"/>
      <c r="AM298" s="251"/>
      <c r="AN298" s="251"/>
      <c r="AO298" s="251"/>
      <c r="AP298" s="251"/>
      <c r="AR298" s="251"/>
    </row>
    <row r="299" spans="1:44" ht="18">
      <c r="A299" s="251"/>
      <c r="B299" s="251"/>
      <c r="C299" s="251"/>
      <c r="D299" s="251"/>
      <c r="E299" s="251"/>
      <c r="F299" s="251"/>
      <c r="G299" s="251"/>
      <c r="H299" s="251"/>
      <c r="I299" s="251"/>
      <c r="J299" s="251"/>
      <c r="K299" s="251"/>
      <c r="L299" s="251"/>
      <c r="M299" s="251"/>
      <c r="N299" s="251"/>
      <c r="O299" s="251"/>
      <c r="P299" s="251"/>
      <c r="Q299" s="251"/>
      <c r="R299" s="251"/>
      <c r="S299" s="251"/>
      <c r="T299" s="251"/>
      <c r="U299" s="251"/>
      <c r="V299" s="251"/>
      <c r="W299" s="251"/>
      <c r="X299" s="251"/>
      <c r="Y299" s="251"/>
      <c r="Z299" s="251"/>
      <c r="AA299" s="251"/>
      <c r="AB299" s="251"/>
      <c r="AC299" s="251"/>
      <c r="AD299" s="251"/>
      <c r="AE299" s="251"/>
      <c r="AF299" s="251"/>
      <c r="AG299" s="251"/>
      <c r="AH299" s="251"/>
      <c r="AI299" s="251"/>
      <c r="AJ299" s="251"/>
      <c r="AK299" s="251"/>
      <c r="AL299" s="251"/>
      <c r="AM299" s="251"/>
      <c r="AN299" s="251"/>
      <c r="AO299" s="251"/>
      <c r="AP299" s="251"/>
      <c r="AR299" s="251"/>
    </row>
    <row r="300" spans="1:44" ht="18">
      <c r="A300" s="251"/>
      <c r="B300" s="251"/>
      <c r="C300" s="251"/>
      <c r="D300" s="251"/>
      <c r="E300" s="251"/>
      <c r="F300" s="251"/>
      <c r="G300" s="251"/>
      <c r="H300" s="251"/>
      <c r="I300" s="251"/>
      <c r="J300" s="251"/>
      <c r="K300" s="251"/>
      <c r="L300" s="251"/>
      <c r="M300" s="251"/>
      <c r="N300" s="251"/>
      <c r="O300" s="251"/>
      <c r="P300" s="251"/>
      <c r="Q300" s="251"/>
      <c r="R300" s="251"/>
      <c r="S300" s="251"/>
      <c r="T300" s="251"/>
      <c r="U300" s="251"/>
      <c r="V300" s="251"/>
      <c r="W300" s="251"/>
      <c r="X300" s="251"/>
      <c r="Y300" s="251"/>
      <c r="Z300" s="251"/>
      <c r="AA300" s="251"/>
      <c r="AB300" s="251"/>
      <c r="AC300" s="251"/>
      <c r="AD300" s="251"/>
      <c r="AE300" s="251"/>
      <c r="AF300" s="251"/>
      <c r="AG300" s="251"/>
      <c r="AH300" s="251"/>
      <c r="AI300" s="251"/>
      <c r="AJ300" s="251"/>
      <c r="AK300" s="251"/>
      <c r="AL300" s="251"/>
      <c r="AM300" s="251"/>
      <c r="AN300" s="251"/>
      <c r="AO300" s="251"/>
      <c r="AP300" s="251"/>
      <c r="AR300" s="251"/>
    </row>
    <row r="301" spans="1:44" ht="18">
      <c r="A301" s="251"/>
      <c r="B301" s="251"/>
      <c r="C301" s="251"/>
      <c r="D301" s="251"/>
      <c r="E301" s="251"/>
      <c r="F301" s="251"/>
      <c r="G301" s="251"/>
      <c r="H301" s="251"/>
      <c r="I301" s="251"/>
      <c r="J301" s="251"/>
      <c r="K301" s="251"/>
      <c r="L301" s="251"/>
      <c r="M301" s="251"/>
      <c r="N301" s="251"/>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251"/>
      <c r="AL301" s="251"/>
      <c r="AM301" s="251"/>
      <c r="AN301" s="251"/>
      <c r="AO301" s="251"/>
      <c r="AP301" s="251"/>
      <c r="AR301" s="251"/>
    </row>
    <row r="302" spans="1:44" ht="18">
      <c r="A302" s="251"/>
      <c r="B302" s="251"/>
      <c r="C302" s="251"/>
      <c r="D302" s="251"/>
      <c r="E302" s="251"/>
      <c r="F302" s="251"/>
      <c r="G302" s="251"/>
      <c r="H302" s="251"/>
      <c r="I302" s="251"/>
      <c r="J302" s="251"/>
      <c r="K302" s="251"/>
      <c r="L302" s="251"/>
      <c r="M302" s="251"/>
      <c r="N302" s="251"/>
      <c r="O302" s="251"/>
      <c r="P302" s="251"/>
      <c r="Q302" s="251"/>
      <c r="R302" s="251"/>
      <c r="S302" s="251"/>
      <c r="T302" s="251"/>
      <c r="U302" s="251"/>
      <c r="V302" s="251"/>
      <c r="W302" s="251"/>
      <c r="X302" s="251"/>
      <c r="Y302" s="251"/>
      <c r="Z302" s="251"/>
      <c r="AA302" s="251"/>
      <c r="AB302" s="251"/>
      <c r="AC302" s="251"/>
      <c r="AD302" s="251"/>
      <c r="AE302" s="251"/>
      <c r="AF302" s="251"/>
      <c r="AG302" s="251"/>
      <c r="AH302" s="251"/>
      <c r="AI302" s="251"/>
      <c r="AJ302" s="251"/>
      <c r="AK302" s="251"/>
      <c r="AL302" s="251"/>
      <c r="AM302" s="251"/>
      <c r="AN302" s="251"/>
      <c r="AO302" s="251"/>
      <c r="AP302" s="251"/>
      <c r="AR302" s="251"/>
    </row>
    <row r="303" spans="1:44" ht="18">
      <c r="A303" s="251"/>
      <c r="B303" s="251"/>
      <c r="C303" s="251"/>
      <c r="D303" s="251"/>
      <c r="E303" s="251"/>
      <c r="F303" s="251"/>
      <c r="G303" s="251"/>
      <c r="H303" s="251"/>
      <c r="I303" s="251"/>
      <c r="J303" s="251"/>
      <c r="K303" s="251"/>
      <c r="L303" s="251"/>
      <c r="M303" s="251"/>
      <c r="N303" s="251"/>
      <c r="O303" s="251"/>
      <c r="P303" s="251"/>
      <c r="Q303" s="251"/>
      <c r="R303" s="251"/>
      <c r="S303" s="251"/>
      <c r="T303" s="251"/>
      <c r="U303" s="251"/>
      <c r="V303" s="251"/>
      <c r="W303" s="251"/>
      <c r="X303" s="251"/>
      <c r="Y303" s="251"/>
      <c r="Z303" s="251"/>
      <c r="AA303" s="251"/>
      <c r="AB303" s="251"/>
      <c r="AC303" s="251"/>
      <c r="AD303" s="251"/>
      <c r="AE303" s="251"/>
      <c r="AF303" s="251"/>
      <c r="AG303" s="251"/>
      <c r="AH303" s="251"/>
      <c r="AI303" s="251"/>
      <c r="AJ303" s="251"/>
      <c r="AK303" s="251"/>
      <c r="AL303" s="251"/>
      <c r="AM303" s="251"/>
      <c r="AN303" s="251"/>
      <c r="AO303" s="251"/>
      <c r="AP303" s="251"/>
      <c r="AR303" s="251"/>
    </row>
    <row r="304" spans="1:44" ht="18">
      <c r="A304" s="251"/>
      <c r="B304" s="251"/>
      <c r="C304" s="251"/>
      <c r="D304" s="251"/>
      <c r="E304" s="251"/>
      <c r="F304" s="251"/>
      <c r="G304" s="251"/>
      <c r="H304" s="251"/>
      <c r="I304" s="251"/>
      <c r="J304" s="251"/>
      <c r="K304" s="251"/>
      <c r="L304" s="251"/>
      <c r="M304" s="251"/>
      <c r="N304" s="251"/>
      <c r="O304" s="251"/>
      <c r="P304" s="251"/>
      <c r="Q304" s="251"/>
      <c r="R304" s="251"/>
      <c r="S304" s="251"/>
      <c r="T304" s="251"/>
      <c r="U304" s="251"/>
      <c r="V304" s="251"/>
      <c r="W304" s="251"/>
      <c r="X304" s="251"/>
      <c r="Y304" s="251"/>
      <c r="Z304" s="251"/>
      <c r="AA304" s="251"/>
      <c r="AB304" s="251"/>
      <c r="AC304" s="251"/>
      <c r="AD304" s="251"/>
      <c r="AE304" s="251"/>
      <c r="AF304" s="251"/>
      <c r="AG304" s="251"/>
      <c r="AH304" s="251"/>
      <c r="AI304" s="251"/>
      <c r="AJ304" s="251"/>
      <c r="AK304" s="251"/>
      <c r="AL304" s="251"/>
      <c r="AM304" s="251"/>
      <c r="AN304" s="251"/>
      <c r="AO304" s="251"/>
      <c r="AP304" s="251"/>
      <c r="AR304" s="251"/>
    </row>
  </sheetData>
  <sheetProtection/>
  <mergeCells count="81">
    <mergeCell ref="B26:C26"/>
    <mergeCell ref="B14:C14"/>
    <mergeCell ref="B15:C15"/>
    <mergeCell ref="B16:C16"/>
    <mergeCell ref="B17:C17"/>
    <mergeCell ref="AA9:AA11"/>
    <mergeCell ref="B24:C24"/>
    <mergeCell ref="T7:T11"/>
    <mergeCell ref="B22:C22"/>
    <mergeCell ref="B25:C25"/>
    <mergeCell ref="B21:C21"/>
    <mergeCell ref="R7:R11"/>
    <mergeCell ref="I6:I11"/>
    <mergeCell ref="L9:L11"/>
    <mergeCell ref="B20:C20"/>
    <mergeCell ref="C4:C11"/>
    <mergeCell ref="M10:M11"/>
    <mergeCell ref="P6:P11"/>
    <mergeCell ref="AR4:AR11"/>
    <mergeCell ref="AD5:AH5"/>
    <mergeCell ref="AI5:AK5"/>
    <mergeCell ref="AM6:AP6"/>
    <mergeCell ref="AP7:AP11"/>
    <mergeCell ref="AH7:AH11"/>
    <mergeCell ref="AJ7:AJ11"/>
    <mergeCell ref="AE6:AH6"/>
    <mergeCell ref="Y4:AK4"/>
    <mergeCell ref="Z6:AC6"/>
    <mergeCell ref="B13:C13"/>
    <mergeCell ref="Q7:Q11"/>
    <mergeCell ref="J7:K8"/>
    <mergeCell ref="D4:D11"/>
    <mergeCell ref="Y6:Y11"/>
    <mergeCell ref="J9:J11"/>
    <mergeCell ref="K9:K11"/>
    <mergeCell ref="E4:E11"/>
    <mergeCell ref="F4:F11"/>
    <mergeCell ref="N10:O10"/>
    <mergeCell ref="AQ4:AQ11"/>
    <mergeCell ref="AN8:AO8"/>
    <mergeCell ref="AN9:AN11"/>
    <mergeCell ref="AO9:AO11"/>
    <mergeCell ref="AL4:AP5"/>
    <mergeCell ref="AM8:AM11"/>
    <mergeCell ref="AD6:AD11"/>
    <mergeCell ref="U7:U11"/>
    <mergeCell ref="AK7:AK11"/>
    <mergeCell ref="AJ6:AK6"/>
    <mergeCell ref="AM7:AO7"/>
    <mergeCell ref="AL6:AL11"/>
    <mergeCell ref="AC7:AC11"/>
    <mergeCell ref="AI6:AI11"/>
    <mergeCell ref="AB9:AB11"/>
    <mergeCell ref="AA8:AB8"/>
    <mergeCell ref="Z7:AB7"/>
    <mergeCell ref="W6:X6"/>
    <mergeCell ref="P5:R5"/>
    <mergeCell ref="Y5:AC5"/>
    <mergeCell ref="S5:U5"/>
    <mergeCell ref="V6:V11"/>
    <mergeCell ref="Q6:R6"/>
    <mergeCell ref="W7:W11"/>
    <mergeCell ref="AE7:AG11"/>
    <mergeCell ref="A1:AR1"/>
    <mergeCell ref="A2:AR2"/>
    <mergeCell ref="A3:AR3"/>
    <mergeCell ref="A4:A11"/>
    <mergeCell ref="B4:B11"/>
    <mergeCell ref="Z8:Z11"/>
    <mergeCell ref="T6:U6"/>
    <mergeCell ref="V5:X5"/>
    <mergeCell ref="L7:O8"/>
    <mergeCell ref="G4:G11"/>
    <mergeCell ref="S6:S11"/>
    <mergeCell ref="P4:X4"/>
    <mergeCell ref="H5:H11"/>
    <mergeCell ref="I5:O5"/>
    <mergeCell ref="H4:O4"/>
    <mergeCell ref="M9:O9"/>
    <mergeCell ref="X7:X11"/>
    <mergeCell ref="J6:O6"/>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ismail - [2010]</cp:lastModifiedBy>
  <cp:lastPrinted>2023-02-17T03:55:39Z</cp:lastPrinted>
  <dcterms:created xsi:type="dcterms:W3CDTF">2011-09-23T07:23:18Z</dcterms:created>
  <dcterms:modified xsi:type="dcterms:W3CDTF">2023-02-17T08:18:09Z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DDYPFUVZ5X6F-6-5016</vt:lpwstr>
  </property>
  <property fmtid="{D5CDD505-2E9C-101B-9397-08002B2CF9AE}" pid="4" name="_dlc_DocIdItemGu">
    <vt:lpwstr>019ddca5-1416-4d84-aaf6-ea549341f87d</vt:lpwstr>
  </property>
  <property fmtid="{D5CDD505-2E9C-101B-9397-08002B2CF9AE}" pid="5" name="_dlc_DocIdU">
    <vt:lpwstr>https://dbdc.backan.gov.vn/_layouts/15/DocIdRedir.aspx?ID=DDYPFUVZ5X6F-6-5016, DDYPFUVZ5X6F-6-5016</vt:lpwstr>
  </property>
  <property fmtid="{D5CDD505-2E9C-101B-9397-08002B2CF9AE}" pid="6" name="MaTinB">
    <vt:lpwstr>2ec76affdffe7c8b</vt:lpwstr>
  </property>
</Properties>
</file>